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145" windowHeight="9345" activeTab="1"/>
  </bookViews>
  <sheets>
    <sheet name="CK Tai chinh" sheetId="1" r:id="rId1"/>
    <sheet name="BC cong khai TC" sheetId="2" r:id="rId2"/>
    <sheet name="Du toan" sheetId="3" r:id="rId3"/>
  </sheets>
  <definedNames/>
  <calcPr fullCalcOnLoad="1"/>
</workbook>
</file>

<file path=xl/comments2.xml><?xml version="1.0" encoding="utf-8"?>
<comments xmlns="http://schemas.openxmlformats.org/spreadsheetml/2006/main">
  <authors>
    <author>Cham</author>
  </authors>
  <commentList>
    <comment ref="C16" authorId="0">
      <text>
        <r>
          <rPr>
            <b/>
            <sz val="8"/>
            <rFont val="Tahoma"/>
            <family val="0"/>
          </rPr>
          <t>Cham:</t>
        </r>
        <r>
          <rPr>
            <sz val="8"/>
            <rFont val="Tahoma"/>
            <family val="0"/>
          </rPr>
          <t xml:space="preserve">
5 tháng: 630.000đ
5 tháng: 730.000đ</t>
        </r>
      </text>
    </comment>
    <comment ref="C24" authorId="0">
      <text>
        <r>
          <rPr>
            <b/>
            <sz val="8"/>
            <rFont val="Tahoma"/>
            <family val="0"/>
          </rPr>
          <t>Cham:
Kì 1: 250.000đ/TC
Kì 2: 280.000đ/TC</t>
        </r>
      </text>
    </comment>
  </commentList>
</comments>
</file>

<file path=xl/comments3.xml><?xml version="1.0" encoding="utf-8"?>
<comments xmlns="http://schemas.openxmlformats.org/spreadsheetml/2006/main">
  <authors>
    <author>User</author>
  </authors>
  <commentList>
    <comment ref="F101" authorId="0">
      <text>
        <r>
          <rPr>
            <b/>
            <sz val="8"/>
            <rFont val="Tahoma"/>
            <family val="0"/>
          </rPr>
          <t>User:</t>
        </r>
        <r>
          <rPr>
            <sz val="8"/>
            <rFont val="Tahoma"/>
            <family val="0"/>
          </rPr>
          <t xml:space="preserve">
30tr/giáo trình</t>
        </r>
      </text>
    </comment>
  </commentList>
</comments>
</file>

<file path=xl/sharedStrings.xml><?xml version="1.0" encoding="utf-8"?>
<sst xmlns="http://schemas.openxmlformats.org/spreadsheetml/2006/main" count="441" uniqueCount="344">
  <si>
    <t>Nội dung thu</t>
  </si>
  <si>
    <t>1. Đào tạo ĐH chính quy</t>
  </si>
  <si>
    <t xml:space="preserve"> - Số SV phải nộp học phí</t>
  </si>
  <si>
    <t xml:space="preserve"> - Số được miễn học phí</t>
  </si>
  <si>
    <t xml:space="preserve"> - Số được giảm học phí</t>
  </si>
  <si>
    <t>2. Đào tạo HS Phổ thông chuyên</t>
  </si>
  <si>
    <t xml:space="preserve"> - Số học sinh</t>
  </si>
  <si>
    <t>3. Đào tạo SĐH</t>
  </si>
  <si>
    <t>4. Đào tạo Tại chức</t>
  </si>
  <si>
    <t>5. Đào tạo VB2</t>
  </si>
  <si>
    <t>6. Đào tạo Chuyên tu</t>
  </si>
  <si>
    <t>d. Thực hiện chính sách miễn giảm, học bổng</t>
  </si>
  <si>
    <t xml:space="preserve"> - Cán bộ giảng dạy</t>
  </si>
  <si>
    <t xml:space="preserve"> - Cán bộ quản lý</t>
  </si>
  <si>
    <t xml:space="preserve"> - Cán bộ phục vụ</t>
  </si>
  <si>
    <t>Định mức</t>
  </si>
  <si>
    <t>Số lượng</t>
  </si>
  <si>
    <t xml:space="preserve">       Lệ phí tuyển sinh  ĐHTC, VB2, Chuyên tu...</t>
  </si>
  <si>
    <t xml:space="preserve"> - Đào tạo thạc sỹ: + Học phí phải thu</t>
  </si>
  <si>
    <t xml:space="preserve"> - Đào tạo tiến sỹ:  + Học phí phải thu</t>
  </si>
  <si>
    <t>c. Ngân sách Nhà nước cấp (biểu chi tiết kèm theo)</t>
  </si>
  <si>
    <t xml:space="preserve"> - Sinh viên hệ sư phạm không phải nộp học phí</t>
  </si>
  <si>
    <t xml:space="preserve"> - Số SV được miễn HP (tính cả hệ sư phạm)</t>
  </si>
  <si>
    <t>Thành tiền</t>
  </si>
  <si>
    <t xml:space="preserve">    + HB học sinh PTCN (chi 9 tháng)</t>
  </si>
  <si>
    <t xml:space="preserve">    + Học bổng sinh viên CLC (chi 10 tháng)</t>
  </si>
  <si>
    <t xml:space="preserve">                                                      + Mức B</t>
  </si>
  <si>
    <t xml:space="preserve">                                                      + Mức C</t>
  </si>
  <si>
    <t>Dự kiến thu (đ.vị: đồng)</t>
  </si>
  <si>
    <t xml:space="preserve"> </t>
  </si>
  <si>
    <t xml:space="preserve">    Số học viên phải nộp HP     + Liên kết Nước ngoài</t>
  </si>
  <si>
    <t xml:space="preserve"> - Dự toán kinh phí cấp học bổng khuyến khích</t>
  </si>
  <si>
    <t xml:space="preserve"> - Hệ không chuyên</t>
  </si>
  <si>
    <t>Số SV TC HN tính đến kỳ 2 năm 2009-2010: 2114 SV</t>
  </si>
  <si>
    <t xml:space="preserve">                                                      + Mức A</t>
  </si>
  <si>
    <t>200.000đ/tháng</t>
  </si>
  <si>
    <t>150.000đ/tháng</t>
  </si>
  <si>
    <t>90.000đ/tháng</t>
  </si>
  <si>
    <t>60.000đ/tháng</t>
  </si>
  <si>
    <t xml:space="preserve">    Số học viên phải nộp HP     + Liên kết với Pháp</t>
  </si>
  <si>
    <t xml:space="preserve">                                               + Liên kết Trung Quốc</t>
  </si>
  <si>
    <t>350.000đ</t>
  </si>
  <si>
    <t xml:space="preserve">                                               + Liên kết Mỹ</t>
  </si>
  <si>
    <t>240.000đ/tháng</t>
  </si>
  <si>
    <t>550.000/tháng</t>
  </si>
  <si>
    <t>480.000/tháng</t>
  </si>
  <si>
    <t>420.000/tháng</t>
  </si>
  <si>
    <t>1.050.000đ/tháng</t>
  </si>
  <si>
    <t xml:space="preserve">                                               + Liên kết Hàn Quốc</t>
  </si>
  <si>
    <t>31.800.000đ/năm</t>
  </si>
  <si>
    <t>1.974USD/năm</t>
  </si>
  <si>
    <t>420.000 đ</t>
  </si>
  <si>
    <t xml:space="preserve">  ĐẠI HỌC QUỐC GIA HÀ NỘI</t>
  </si>
  <si>
    <t>Biểu mẫu 24-Bộ GD&amp;ĐT</t>
  </si>
  <si>
    <t>TRƯỜNG ĐẠI HỌC NGOẠI NGỮ</t>
  </si>
  <si>
    <t>THÔNG BÁO</t>
  </si>
  <si>
    <t>TT</t>
  </si>
  <si>
    <t>Nội dung</t>
  </si>
  <si>
    <t>Đơn vị tính</t>
  </si>
  <si>
    <t>Học phí 1SV/năm</t>
  </si>
  <si>
    <t>I</t>
  </si>
  <si>
    <t xml:space="preserve">triệu đồng/năm </t>
  </si>
  <si>
    <t>Tiến sỹ</t>
  </si>
  <si>
    <t>Thạc sỹ</t>
  </si>
  <si>
    <t>Đại học</t>
  </si>
  <si>
    <t>II</t>
  </si>
  <si>
    <t>...</t>
  </si>
  <si>
    <t>IV</t>
  </si>
  <si>
    <t>tỷ đồng</t>
  </si>
  <si>
    <t>Từ ngân sách</t>
  </si>
  <si>
    <t>Từ học phí, lệ phí</t>
  </si>
  <si>
    <t>Từ nghiên cứu khoc học và chuyển giao công nghệ</t>
  </si>
  <si>
    <t>Từ nguồn khác</t>
  </si>
  <si>
    <t>a. Học phí, lệ phí và các khoản thu khác từ người học năm học 2014-2015</t>
  </si>
  <si>
    <t>b. Thu từ dịch vụ(theo dự toán)</t>
  </si>
  <si>
    <t xml:space="preserve">   ĐẠI HỌC QUỐC GIA HÀ NỘI</t>
  </si>
  <si>
    <t xml:space="preserve"> TRƯỜNG ĐẠI HỌC NGOẠI NGỮ</t>
  </si>
  <si>
    <t>Stt</t>
  </si>
  <si>
    <t>Nội dung nhiệm vụ</t>
  </si>
  <si>
    <t>Từ nguồn thu sự nghiêp</t>
  </si>
  <si>
    <t>DT cấp năm 2013</t>
  </si>
  <si>
    <t>Số thu phí, lệ phí</t>
  </si>
  <si>
    <t xml:space="preserve"> - Học phí chính quy</t>
  </si>
  <si>
    <t xml:space="preserve"> - Phí, lệ phí khác</t>
  </si>
  <si>
    <t>Chi tiết nguồn thu phí, lệ phí được để lại</t>
  </si>
  <si>
    <t xml:space="preserve"> - Chi giảng dạy, NCKHSV, hoạt động khác</t>
  </si>
  <si>
    <t xml:space="preserve"> - Để lại 40% để cải cách tiền lương</t>
  </si>
  <si>
    <t xml:space="preserve">  SỰ NGHIỆP GD-ĐT</t>
  </si>
  <si>
    <t>Kinh phí thường xuyên</t>
  </si>
  <si>
    <t>1.1</t>
  </si>
  <si>
    <t>1.1.1</t>
  </si>
  <si>
    <t>Quỹ lương theo chỉ tiêu nhân lực được giao</t>
  </si>
  <si>
    <t>1.1.2</t>
  </si>
  <si>
    <t>TK chi để CCTL</t>
  </si>
  <si>
    <t>1.1.4</t>
  </si>
  <si>
    <t xml:space="preserve">Phụ cấp thâm niên </t>
  </si>
  <si>
    <t>1.1.5</t>
  </si>
  <si>
    <t>Chi đào tạo PTNK</t>
  </si>
  <si>
    <t>1.1.6</t>
  </si>
  <si>
    <t xml:space="preserve">Chi đào tạo Cử nhân CLC </t>
  </si>
  <si>
    <t>1.1.7</t>
  </si>
  <si>
    <t xml:space="preserve">Chi thường xuyên ĐHCQ </t>
  </si>
  <si>
    <t>1.1.8</t>
  </si>
  <si>
    <t>Chi bù học phí sư phạm</t>
  </si>
  <si>
    <t>1.1.9</t>
  </si>
  <si>
    <t>Chi đào tạo lưu HS theo diện HĐ của CP</t>
  </si>
  <si>
    <t>1.1.10</t>
  </si>
  <si>
    <t>1.1.11</t>
  </si>
  <si>
    <t>Chi thực hiện các chỉ tiêu KHNV</t>
  </si>
  <si>
    <t>1.1.12</t>
  </si>
  <si>
    <t>Chi biên soạn giáo trình, tài liệu</t>
  </si>
  <si>
    <t>1.1.13</t>
  </si>
  <si>
    <t>Chi hỗ trợ giảng dạy bổ túc CĐR QH 2011</t>
  </si>
  <si>
    <t>1.2</t>
  </si>
  <si>
    <t>1.2.1</t>
  </si>
  <si>
    <t>Chi thường xuyên (gồm giảng dạy NN trong ĐHQG)</t>
  </si>
  <si>
    <t>1.2.2</t>
  </si>
  <si>
    <t>Kinh phí không thường xuyên</t>
  </si>
  <si>
    <t>2.1</t>
  </si>
  <si>
    <t xml:space="preserve">SỰ NGHIỆP KHOA HỌC CÔNG NGHỆ </t>
  </si>
  <si>
    <t>Đề tài cơ sở</t>
  </si>
  <si>
    <t>Hoạt động KHCN</t>
  </si>
  <si>
    <t>1.3</t>
  </si>
  <si>
    <t>Đề tài nhóm B</t>
  </si>
  <si>
    <t>III</t>
  </si>
  <si>
    <t>CHƯƠNG TRÌNH MỤC TIÊU GDĐT</t>
  </si>
  <si>
    <t xml:space="preserve">  SỰ NGHIỆP GD -ĐT</t>
  </si>
  <si>
    <t xml:space="preserve"> KINH PHÍ THƯỜNG XUYÊN</t>
  </si>
  <si>
    <t xml:space="preserve"> Loại 490 - khoản 502</t>
  </si>
  <si>
    <t>Chi đào tạo PTCN (PTCN lập DT phần HP)</t>
  </si>
  <si>
    <t xml:space="preserve"> +</t>
  </si>
  <si>
    <t>Chi lương biên chế</t>
  </si>
  <si>
    <t>Chi lương hợp đồng có thời hạn</t>
  </si>
  <si>
    <t>Chi phụ cấp ưu đãi (0,7)</t>
  </si>
  <si>
    <t>Các khoản đóng góp (BHXH+YT+TN+CĐ)</t>
  </si>
  <si>
    <t>Chi học bổng học sinh</t>
  </si>
  <si>
    <t>Chi ăn giữa ca</t>
  </si>
  <si>
    <t>Chi quỹ lương Đại học</t>
  </si>
  <si>
    <t xml:space="preserve">Cải cách tiền lương </t>
  </si>
  <si>
    <t xml:space="preserve">Chi lương cơ bản </t>
  </si>
  <si>
    <t xml:space="preserve">P/C chức vụ </t>
  </si>
  <si>
    <t>Chi phụ cấp ưu đãi (0,4)</t>
  </si>
  <si>
    <t>Chi lương HĐ đồng BH</t>
  </si>
  <si>
    <t>Các khoản đóng góp (BH+KPCĐ HĐ)</t>
  </si>
  <si>
    <t xml:space="preserve"> - Bảo hiểm XH+YT+TN</t>
  </si>
  <si>
    <t xml:space="preserve"> - Kinh phí công đoàn</t>
  </si>
  <si>
    <t>Làm thêm giờ, độc hại</t>
  </si>
  <si>
    <t>Phụ cấp thâm niên năm 2014 (cả 24% BH)</t>
  </si>
  <si>
    <t>1.1.3</t>
  </si>
  <si>
    <t>Chi cho các hoạt động thường xuyên</t>
  </si>
  <si>
    <t>Chi thu nhập tăng thêm</t>
  </si>
  <si>
    <t>Chi khám sức khỏe định kỳ</t>
  </si>
  <si>
    <t>Chi hỗ trợ trang phục</t>
  </si>
  <si>
    <t xml:space="preserve"> - Chi học bổng khuyến khích học tập</t>
  </si>
  <si>
    <t xml:space="preserve"> - Chi học bổng, SHP cho SVDTTS </t>
  </si>
  <si>
    <t xml:space="preserve"> - Chi trợ cấp SV hộ nghèo, hoàn cảnh KK</t>
  </si>
  <si>
    <t xml:space="preserve"> Dịch vụ công cộng             </t>
  </si>
  <si>
    <t xml:space="preserve"> - Điện</t>
  </si>
  <si>
    <t xml:space="preserve"> - Vệ sinh </t>
  </si>
  <si>
    <t xml:space="preserve"> - Xăng, dầu</t>
  </si>
  <si>
    <t>Chi phí vật tư văn phòng phẩm</t>
  </si>
  <si>
    <t xml:space="preserve"> - Văn phòng phẩm</t>
  </si>
  <si>
    <t xml:space="preserve"> - Thiết bị văn phòng</t>
  </si>
  <si>
    <t xml:space="preserve">Chi phí thông tin liên lạc                </t>
  </si>
  <si>
    <t xml:space="preserve"> - Cước điện thoại, thuê bao cáp ...</t>
  </si>
  <si>
    <t xml:space="preserve"> - Sách, báo </t>
  </si>
  <si>
    <t xml:space="preserve"> - Chi phí thông tin liên lạc khác               </t>
  </si>
  <si>
    <t>Chi Hội nghị tổng kết năm học</t>
  </si>
  <si>
    <t xml:space="preserve">Công tác phí  </t>
  </si>
  <si>
    <t xml:space="preserve">Chi phí thuê mướn                           </t>
  </si>
  <si>
    <t xml:space="preserve"> - Hợp đồng khác, VS</t>
  </si>
  <si>
    <t xml:space="preserve">Chi phí đoàn ra                           </t>
  </si>
  <si>
    <t xml:space="preserve">Chi phí đoàn vào                        </t>
  </si>
  <si>
    <t xml:space="preserve">Chi phí nghiệp vụ CM gồm:             </t>
  </si>
  <si>
    <t xml:space="preserve"> * Chi theo chỉ tiêu kế hoạch, nhiệm vụ</t>
  </si>
  <si>
    <t xml:space="preserve"> - Điều chỉnh chương trình SĐH</t>
  </si>
  <si>
    <t xml:space="preserve"> - Hoạt động kiểm định AUN</t>
  </si>
  <si>
    <t xml:space="preserve"> - Đánh giá và xếp hạng ĐH</t>
  </si>
  <si>
    <t xml:space="preserve"> - Chế độ CS và điều tra SV tốt nghiệp</t>
  </si>
  <si>
    <t xml:space="preserve"> - Đề tài hợp tác </t>
  </si>
  <si>
    <t xml:space="preserve"> - XD ngân hàng câu hỏi</t>
  </si>
  <si>
    <t xml:space="preserve"> - Số hóa tài liệu</t>
  </si>
  <si>
    <t xml:space="preserve"> - Cải cách hành chính và áp dụng ISO </t>
  </si>
  <si>
    <t>* Chi biên soạn giáo trình ĐH</t>
  </si>
  <si>
    <t>* Chi giảng dạy CĐR 2011</t>
  </si>
  <si>
    <t xml:space="preserve"> * Nhiệm vụ chiến lược</t>
  </si>
  <si>
    <t xml:space="preserve"> + QH2012, QH 2013</t>
  </si>
  <si>
    <t xml:space="preserve"> + QH2014</t>
  </si>
  <si>
    <t xml:space="preserve"> * Chi vượt giờ chuẩn</t>
  </si>
  <si>
    <t xml:space="preserve"> * Chi thực tập sư phạm, phiên dịch</t>
  </si>
  <si>
    <t xml:space="preserve"> * Hỗ trợ phụ cấp CB là ĐUV ĐHQG</t>
  </si>
  <si>
    <t xml:space="preserve"> * Chi đào tạo lưu HS theo diện HĐ của CP</t>
  </si>
  <si>
    <t xml:space="preserve"> * XD CTĐT và điều chỉnh chương trình Ths T.Đức</t>
  </si>
  <si>
    <t xml:space="preserve">Mua sắm TS vô hình                   </t>
  </si>
  <si>
    <t xml:space="preserve">Mua sắm TS hữu hình                   </t>
  </si>
  <si>
    <t xml:space="preserve">Cải tạo, sửa chữa thường xuyên TSCĐ </t>
  </si>
  <si>
    <t xml:space="preserve"> - Sửa máy móc thiết bị</t>
  </si>
  <si>
    <t xml:space="preserve"> - Sửa điện, nước, khác</t>
  </si>
  <si>
    <t xml:space="preserve"> - Sửa chữa tài sản, hạ tầng  </t>
  </si>
  <si>
    <t xml:space="preserve"> + Cải tạo cơ sở hạ tầng khác</t>
  </si>
  <si>
    <t>Các  khoản chi khác</t>
  </si>
  <si>
    <t xml:space="preserve"> Loại 490 - khoản 503 (SĐH)</t>
  </si>
  <si>
    <t>Chi lương, TNTT cho CB khoa SĐH</t>
  </si>
  <si>
    <t>1.2.3</t>
  </si>
  <si>
    <t>Các khoản đóng góp (BH+KPCĐ )</t>
  </si>
  <si>
    <t>1.2.4</t>
  </si>
  <si>
    <t>Giảng dạy+ Hướng dẫn LV,LA (bao gồm dạy trong ĐHQGHN)</t>
  </si>
  <si>
    <t>1.2.5</t>
  </si>
  <si>
    <t>1.2.6</t>
  </si>
  <si>
    <t>Chi CSVC,TB,VPP….</t>
  </si>
  <si>
    <t xml:space="preserve"> KINH PHÍ  KHÔNG THƯỜNG XUYÊN</t>
  </si>
  <si>
    <t>Kinh phí thực hiện nhiệm vụ KHCN</t>
  </si>
  <si>
    <t xml:space="preserve"> Loại 370 - khoản 371</t>
  </si>
  <si>
    <t xml:space="preserve">Đề tài nhóm A/ B </t>
  </si>
  <si>
    <t>Hội nghị KH trường + SV</t>
  </si>
  <si>
    <t>1.4</t>
  </si>
  <si>
    <t xml:space="preserve">Hội nghị, hội thảo, hoạt động chung </t>
  </si>
  <si>
    <t>1.5</t>
  </si>
  <si>
    <t>Chuyên san ngoại ngữ</t>
  </si>
  <si>
    <t>CTMT NGÀNH GD ĐT</t>
  </si>
  <si>
    <t>Biên tập, hoàn thiện các bảng định dạng đề thi 6 bậc và các văn bản liên quan</t>
  </si>
  <si>
    <t>Xây dựng định dạng đề thi NLTA bậc 3 đến 5, B1 đến C1 (có thử nghiệm tại các trung tâm khảo thí quốc gia và đối sánh với các bài thi quốc tế định dạng IELTS)</t>
  </si>
  <si>
    <t>Xây dựng, thẩm định tài liệu hướng dẫn viết tiểu mục đề thi bậc 3 đến 5, B1 đến C1</t>
  </si>
  <si>
    <t>Bồi dưỡng năng lực viết tiểu mục đề thi bậc 3 đến 5, B1 đến C1</t>
  </si>
  <si>
    <t>Tập huấn cán bộ tổ chức thi, cán bộ chấm thi nói, chấm thi viết cho các kỳ thi khảo sát đánh giá NLTA bậc 3 đến 5, B1 đến C1 theo ĐANNQG2020</t>
  </si>
  <si>
    <t>2.2</t>
  </si>
  <si>
    <t>Bồi dưỡng năng lực Ngoại ngữ và PPGD</t>
  </si>
  <si>
    <t>3.1</t>
  </si>
  <si>
    <t>Nghiên cứu và giới thiệu 01 mô hình đào tạo cử nhân sư phạm tiếng Anh hiệu quả</t>
  </si>
  <si>
    <t>3.2</t>
  </si>
  <si>
    <t>Xây dựng chương trình bồi dưỡng PPGD và kiểm tra đánh giá cho giảng viên tiếng Anh chuyên ngữ bậc đại học và cao đẳng (300 tiết)</t>
  </si>
  <si>
    <t>3.3</t>
  </si>
  <si>
    <t>Bồi dưỡng PPGD và kiểm tra đánh giá cho giảng viên tiếng Anh ở ĐHQGHN và các trường đại học, cao đẳng (300 tiết)</t>
  </si>
  <si>
    <t>4.1</t>
  </si>
  <si>
    <t>Xây dựng chương trình tiếng Anh trên VOV 05 phút/số, 50 số/năm</t>
  </si>
  <si>
    <t>4.2</t>
  </si>
  <si>
    <t>Tổ chức cuộc thi quốc gia Olympic tiếng Anh không chuyên ở bậc đại học (04 vòng)</t>
  </si>
  <si>
    <t>4.3</t>
  </si>
  <si>
    <t>Tổ chức hội thảo quốc gia chia sẻ kinh nghiệm xây dựng cộng đồng học tập ngoại ngữ</t>
  </si>
  <si>
    <t>5.1</t>
  </si>
  <si>
    <t>Xây dựng chương trình tiếng Nhật tại 3 cấp học từ Tiểu học đến THPT</t>
  </si>
  <si>
    <t>5.2</t>
  </si>
  <si>
    <t>Xây dựng chương trình tiếng Hàn Quốc như ngoại ngữ thứ hai</t>
  </si>
  <si>
    <t>590.000đ/tháng</t>
  </si>
  <si>
    <t>300.000đ/tháng</t>
  </si>
  <si>
    <t>915.000đ/tháng</t>
  </si>
  <si>
    <t>1.525.000/tháng</t>
  </si>
  <si>
    <t>256.000/1TC</t>
  </si>
  <si>
    <t>280.000đ/TC</t>
  </si>
  <si>
    <t>46.440.000đ/năm</t>
  </si>
  <si>
    <t>29.300.000đ/năm</t>
  </si>
  <si>
    <t>27.800.000đ/năm</t>
  </si>
  <si>
    <t xml:space="preserve">  + Học bổng sinh viên (10 tháng)</t>
  </si>
  <si>
    <t>Học phí hệ chính quy chương trình 
đại trà năm học 2015-2016</t>
  </si>
  <si>
    <t>Học phí hệ chính quy chương trình 
khác năm học 2015-2016</t>
  </si>
  <si>
    <t>Công khai tài chính của cơ sở giáo dục đại học
Năm học 2015-2016</t>
  </si>
  <si>
    <t>Học phí hệ vừa học vừa làm tại trường 
năm học 2015-2016</t>
  </si>
  <si>
    <t>Tổng thu năm 2014</t>
  </si>
  <si>
    <t>8. Đào tạo bằng kép</t>
  </si>
  <si>
    <t>9. Liên kết đào tạo ĐH với nước ngoài</t>
  </si>
  <si>
    <t>10. Liên kết SĐH</t>
  </si>
  <si>
    <t>11. Lệ phí đăng ký + tuyển sinh SĐH</t>
  </si>
  <si>
    <t>12. Lệ phí tuyển sinh , đăng ký dự thi ĐH</t>
  </si>
  <si>
    <t>e, Thu nhập bình quân năm 2014</t>
  </si>
  <si>
    <t xml:space="preserve"> CỘNG HOÀ XÃ HỘI CHỦ NGHĨA VIỆT NAM</t>
  </si>
  <si>
    <t xml:space="preserve">              Độc lập - Tự do - Hạnh Phúc</t>
  </si>
  <si>
    <t xml:space="preserve"> DỰ KIẾN KẾ HOẠCH THỰC HIỆN NHIỆM VỤ CHI NGÂN SÁCH NĂM 2015</t>
  </si>
  <si>
    <t xml:space="preserve">      Căn cứ QĐ số  395/QĐ-ĐHQGHN ngày 28/01/2015; QĐ số  1047/QĐ-ĐHQGHN ngày 25/3/2015;QĐ số  1761/QĐ-ĐHQGHN ngày 14/5/2015 của ĐHQGHN về việc  giao DTNSNN  năm 2015. Công văn số 2132 ngày 11/6/2015 của ĐHQGHN về xác định kinh phí tạm giữ. Trường ĐH Ngoại ngữ dự kiến phân bổ kinh phí như sau:</t>
  </si>
  <si>
    <t xml:space="preserve">        Đơn vị tính: triệu đồng</t>
  </si>
  <si>
    <t>Đơn vị: triệu đồng</t>
  </si>
  <si>
    <t>Phối hợp</t>
  </si>
  <si>
    <t>Thực hiện năm 2014</t>
  </si>
  <si>
    <t>DT năm 2014 chuyển sang</t>
  </si>
  <si>
    <t>Dự toán NSNN cấp năm 2015</t>
  </si>
  <si>
    <t>Tiết kiệm CV 2968</t>
  </si>
  <si>
    <t xml:space="preserve">Dự toán  được chi 2015 </t>
  </si>
  <si>
    <t>Dự toán đã rút</t>
  </si>
  <si>
    <t xml:space="preserve">Số dư dự toán còn lại </t>
  </si>
  <si>
    <t>Quý 1</t>
  </si>
  <si>
    <t>Quý 2</t>
  </si>
  <si>
    <t>Quý 3</t>
  </si>
  <si>
    <t>Quý 4</t>
  </si>
  <si>
    <t>Tháng 1/2014</t>
  </si>
  <si>
    <t>A</t>
  </si>
  <si>
    <t>PHẦN 1: THU, CHI PHÍ, LỆ PHÍ</t>
  </si>
  <si>
    <t>B</t>
  </si>
  <si>
    <t>PHẦN 2: DỰ TOÁN CHI NSNN</t>
  </si>
  <si>
    <t xml:space="preserve">  Loại 490 - khoản 502</t>
  </si>
  <si>
    <t>Nhiệm vụ chiến lược QH2015 (bù 2014)</t>
  </si>
  <si>
    <t>Cộng mục 1.1.6 đến 1.1.8 để phân bổ chi TX</t>
  </si>
  <si>
    <t xml:space="preserve"> Loại 490 - khoản 503</t>
  </si>
  <si>
    <t xml:space="preserve">Kinh phí cấp bù thi TS SĐH </t>
  </si>
  <si>
    <t>-</t>
  </si>
  <si>
    <t>Loại 370 - khoản 371</t>
  </si>
  <si>
    <t>C</t>
  </si>
  <si>
    <t>PHẦN 3: KẾ HOẠCH THỰC HIỆN</t>
  </si>
  <si>
    <t>Chi CSVC,HĐ tiết và các khoản hoạt động khác</t>
  </si>
  <si>
    <t xml:space="preserve">Chi khen thưởng ĐQHQG + Trường </t>
  </si>
  <si>
    <t>Chi học bổng SV (8%)</t>
  </si>
  <si>
    <t xml:space="preserve"> - Thuê chuyên gia nước ngoài </t>
  </si>
  <si>
    <t xml:space="preserve"> - Hợp đồng tiết</t>
  </si>
  <si>
    <t xml:space="preserve"> - XD giáo trình, bài giảng điện tử</t>
  </si>
  <si>
    <t xml:space="preserve"> - Giải thưởng QT, QG, CĐR Tiếng Anh B1 </t>
  </si>
  <si>
    <t xml:space="preserve"> -Xác định vị trí việc làm</t>
  </si>
  <si>
    <t xml:space="preserve"> - Hoạt động kiểm định tiêu chuẩn Bộ GD ĐT</t>
  </si>
  <si>
    <t xml:space="preserve"> +HĐ nhiệm vụ</t>
  </si>
  <si>
    <t xml:space="preserve"> + QH2015</t>
  </si>
  <si>
    <t xml:space="preserve"> * Chi đào tạo Cử nhân CLC (gồm cả học bổng) </t>
  </si>
  <si>
    <t xml:space="preserve"> * Hoạt động của ĐTN</t>
  </si>
  <si>
    <t xml:space="preserve"> * Chi bồi dưỡng CM, chi CM khác</t>
  </si>
  <si>
    <t xml:space="preserve"> + Cải tạo hệ thống cửa vệ sinh nhà A2</t>
  </si>
  <si>
    <t xml:space="preserve"> + Cải tạo cửa tầng 2,3,4 nhà B2</t>
  </si>
  <si>
    <t xml:space="preserve"> + Cải tạo mái nhà A5+Khoa Pháp</t>
  </si>
  <si>
    <t xml:space="preserve"> + Cải tạo sơn nhà A1</t>
  </si>
  <si>
    <t xml:space="preserve"> + Cải tạo giếng ngầm Trường PTCN</t>
  </si>
  <si>
    <t xml:space="preserve"> + Cải tạo phòng 410 nhà A1</t>
  </si>
  <si>
    <t xml:space="preserve"> + Cải tạo hệ thống chiếu sáng nhà A1, A3, VĐL</t>
  </si>
  <si>
    <t xml:space="preserve"> + Cải tạo cửa nhà A1</t>
  </si>
  <si>
    <t xml:space="preserve"> + Cải tạo sân nhà A1, A2</t>
  </si>
  <si>
    <t xml:space="preserve"> + Cải tạo phòng 201, 406 nhà A1</t>
  </si>
  <si>
    <t>Xây dựng, điều chỉnh CTCT SĐH</t>
  </si>
  <si>
    <t>1.2.7</t>
  </si>
  <si>
    <t>Dự án Trung tâm thực hành thể chất</t>
  </si>
  <si>
    <t>Dự án Trường PTCNN</t>
  </si>
  <si>
    <t>Xây dựng chương trình nâng cao khả năng sử dụng tiếng Anh</t>
  </si>
  <si>
    <t>Hỗ trợ tăng cường CSVC trường PTCN</t>
  </si>
  <si>
    <t>Nghiên cứu và giới thiệu 01 mô hình đào tạo các môn Ngoại ngữ chuyên theo định hướng đổi mới căn bản và toàn diện về PPGD và KTĐG</t>
  </si>
  <si>
    <t>Biên soạn tài liệu hướng dẫn về đổi mới PPGD và KTĐG các môn ngoại ngữ chuyên dành cho các lớp chuyên ngoại ngữ thuộc hệ thống các trường THPT chuyên trong cả nước</t>
  </si>
  <si>
    <t>2.3</t>
  </si>
  <si>
    <t>Xây dựng chương trình đào tạo môn ngoại ngữ chuyên tiếng Hàn ở Trường THPT chuyên ngoại ngữ trong cả nước.</t>
  </si>
  <si>
    <t xml:space="preserve">Xây dựng định dạng đề thi bậc 2 theo khung NLNN 6 bậc dùng cho Việt Nam. </t>
  </si>
  <si>
    <t>Xây dựng định dạng đề thi tuyển sinh môn ngoại ngữ vào đại học phục vụ đổi mới TSĐH trong cả nước</t>
  </si>
  <si>
    <t>Phát triển ngân hàng đề thi theo định dạng đề thi TSĐH các môn ngoại ngữ</t>
  </si>
  <si>
    <t>3.4</t>
  </si>
  <si>
    <t>Xây dựng Báo cáo giáo dục ngoại ngữ thường niên</t>
  </si>
  <si>
    <t>3.5</t>
  </si>
  <si>
    <t>Tổ chức cuộc thi Olympic tiếng Anh không chuyên lần thứ 2</t>
  </si>
  <si>
    <t>3.6</t>
  </si>
  <si>
    <t>Hội thảo về đổi mới PPGD và KTĐG các học phần trong chương trình đào tạo ĐH chuyên ngữ theo chuẩn đầu ra</t>
  </si>
  <si>
    <t xml:space="preserve">       Hà Nội, ngày 17 tháng 8 năm 2015</t>
  </si>
  <si>
    <t xml:space="preserve">         KT.Hiệu trưởng</t>
  </si>
  <si>
    <t xml:space="preserve">        Phó Hiệu trưởng</t>
  </si>
  <si>
    <t xml:space="preserve">           Phạm Văn Ngọc</t>
  </si>
  <si>
    <t>Thông báo công khai tài chính cơ sở giáo dục đại học năm học 2015-2016</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</si>
</sst>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 ###\ ###"/>
    <numFmt numFmtId="173" formatCode="_(* #,##0_);_(* \(#,##0\);_(* &quot;-&quot;??_);_(@_)"/>
    <numFmt numFmtId="174" formatCode="###\ ###\ ###"/>
    <numFmt numFmtId="175" formatCode="###\ ###\ ###\ ###\ "/>
    <numFmt numFmtId="176" formatCode="#,##0.0"/>
  </numFmts>
  <fonts count="72">
    <font>
      <sz val="14"/>
      <name val=".VnTime"/>
      <family val="0"/>
    </font>
    <font>
      <sz val="14"/>
      <name val="Times New Roman"/>
      <family val="1"/>
    </font>
    <font>
      <b/>
      <sz val="14"/>
      <name val="Times New Roman"/>
      <family val="1"/>
    </font>
    <font>
      <sz val="12"/>
      <name val="Times New Roman"/>
      <family val="1"/>
    </font>
    <font>
      <b/>
      <i/>
      <sz val="12"/>
      <name val="Times New Roman"/>
      <family val="1"/>
    </font>
    <font>
      <b/>
      <sz val="12"/>
      <name val="Times New Roman"/>
      <family val="1"/>
    </font>
    <font>
      <sz val="8"/>
      <name val="Tahoma"/>
      <family val="0"/>
    </font>
    <font>
      <b/>
      <sz val="8"/>
      <name val="Tahoma"/>
      <family val="0"/>
    </font>
    <font>
      <sz val="12"/>
      <color indexed="8"/>
      <name val="Times New Roman"/>
      <family val="1"/>
    </font>
    <font>
      <sz val="11"/>
      <color indexed="8"/>
      <name val="Calibri"/>
      <family val="2"/>
    </font>
    <font>
      <b/>
      <sz val="12"/>
      <color indexed="8"/>
      <name val="Times New Roman"/>
      <family val="1"/>
    </font>
    <font>
      <i/>
      <sz val="12"/>
      <name val="Times New Roman"/>
      <family val="1"/>
    </font>
    <font>
      <i/>
      <sz val="12"/>
      <color indexed="8"/>
      <name val="Times New Roman"/>
      <family val="1"/>
    </font>
    <font>
      <sz val="11"/>
      <name val="Times New Roman"/>
      <family val="1"/>
    </font>
    <font>
      <b/>
      <sz val="11"/>
      <name val="Times New Roman"/>
      <family val="1"/>
    </font>
    <font>
      <b/>
      <sz val="12"/>
      <name val=".VnTime"/>
      <family val="2"/>
    </font>
    <font>
      <b/>
      <sz val="12"/>
      <name val=".VnTimeH"/>
      <family val="2"/>
    </font>
    <font>
      <sz val="12"/>
      <name val=".VnTime"/>
      <family val="2"/>
    </font>
    <font>
      <sz val="11"/>
      <name val=".VnTime"/>
      <family val="2"/>
    </font>
    <font>
      <b/>
      <sz val="11"/>
      <name val=".VnTimeH"/>
      <family val="2"/>
    </font>
    <font>
      <b/>
      <sz val="11"/>
      <name val=".VnTime"/>
      <family val="2"/>
    </font>
    <font>
      <b/>
      <sz val="10"/>
      <name val=".VnTimeH"/>
      <family val="2"/>
    </font>
    <font>
      <b/>
      <sz val="9"/>
      <name val="Times New Roman"/>
      <family val="1"/>
    </font>
    <font>
      <b/>
      <sz val="10"/>
      <name val=".VnTime"/>
      <family val="2"/>
    </font>
    <font>
      <b/>
      <i/>
      <sz val="12"/>
      <name val=".VnTime"/>
      <family val="2"/>
    </font>
    <font>
      <i/>
      <sz val="12"/>
      <name val=".VnTime"/>
      <family val="2"/>
    </font>
    <font>
      <i/>
      <sz val="12"/>
      <color indexed="10"/>
      <name val="Times New Roman"/>
      <family val="1"/>
    </font>
    <font>
      <i/>
      <sz val="11"/>
      <name val=".VnTime"/>
      <family val="2"/>
    </font>
    <font>
      <i/>
      <sz val="11"/>
      <name val="Times New Roman"/>
      <family val="1"/>
    </font>
    <font>
      <sz val="11"/>
      <name val=".VnTimeH"/>
      <family val="2"/>
    </font>
    <font>
      <sz val="12"/>
      <name val=".VnTimeH"/>
      <family val="2"/>
    </font>
    <font>
      <sz val="12"/>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name val="Times New Roman"/>
      <family val="1"/>
    </font>
    <font>
      <sz val="10"/>
      <name val="Times New Roman"/>
      <family val="1"/>
    </font>
    <font>
      <sz val="13"/>
      <name val="Times New Roman"/>
      <family val="1"/>
    </font>
    <font>
      <sz val="13"/>
      <name val=".VnTime"/>
      <family val="0"/>
    </font>
    <font>
      <b/>
      <u val="single"/>
      <sz val="12"/>
      <name val="Times New Roman"/>
      <family val="1"/>
    </font>
    <font>
      <u val="single"/>
      <sz val="12"/>
      <name val="Times New Roman"/>
      <family val="1"/>
    </font>
    <font>
      <b/>
      <u val="single"/>
      <sz val="10"/>
      <name val="Times New Roman"/>
      <family val="1"/>
    </font>
    <font>
      <i/>
      <sz val="10"/>
      <name val="Times New Roman"/>
      <family val="1"/>
    </font>
    <font>
      <b/>
      <i/>
      <sz val="10"/>
      <name val="Times New Roman"/>
      <family val="1"/>
    </font>
    <font>
      <b/>
      <sz val="12"/>
      <color indexed="8"/>
      <name val=".VnTime"/>
      <family val="2"/>
    </font>
    <font>
      <sz val="12"/>
      <color indexed="8"/>
      <name val=".VnTime"/>
      <family val="2"/>
    </font>
    <font>
      <b/>
      <i/>
      <sz val="12"/>
      <color indexed="8"/>
      <name val=".VnTime"/>
      <family val="2"/>
    </font>
    <font>
      <i/>
      <sz val="12"/>
      <color indexed="8"/>
      <name val=".VnTime"/>
      <family val="2"/>
    </font>
    <font>
      <b/>
      <i/>
      <sz val="12"/>
      <color indexed="8"/>
      <name val="Times New Roman"/>
      <family val="1"/>
    </font>
    <font>
      <b/>
      <i/>
      <sz val="10"/>
      <color indexed="8"/>
      <name val="Times New Roman"/>
      <family val="1"/>
    </font>
    <font>
      <sz val="10"/>
      <color indexed="8"/>
      <name val="Times New Roman"/>
      <family val="1"/>
    </font>
    <font>
      <b/>
      <sz val="10"/>
      <color indexed="8"/>
      <name val="Times New Roman"/>
      <family val="1"/>
    </font>
    <font>
      <b/>
      <sz val="9"/>
      <color indexed="8"/>
      <name val="Times New Roman"/>
      <family val="1"/>
    </font>
    <font>
      <b/>
      <sz val="12"/>
      <color indexed="8"/>
      <name val=".VnTimeH"/>
      <family val="2"/>
    </font>
    <font>
      <b/>
      <sz val="11"/>
      <color indexed="8"/>
      <name val=".VnTime"/>
      <family val="2"/>
    </font>
    <font>
      <b/>
      <sz val="11"/>
      <color indexed="8"/>
      <name val="Times New Roman"/>
      <family val="1"/>
    </font>
    <font>
      <sz val="10"/>
      <name val=".VnTime"/>
      <family val="2"/>
    </font>
    <font>
      <b/>
      <sz val="8"/>
      <name val=".VnTime"/>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hair"/>
      <bottom>
        <color indexed="63"/>
      </bottom>
    </border>
    <border>
      <left style="thin"/>
      <right style="thin"/>
      <top/>
      <bottom style="thin"/>
    </border>
    <border>
      <left style="thin"/>
      <right style="thin"/>
      <top/>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22" borderId="0" applyNumberFormat="0" applyBorder="0" applyAlignment="0" applyProtection="0"/>
    <xf numFmtId="0" fontId="9" fillId="0" borderId="0">
      <alignment/>
      <protection/>
    </xf>
    <xf numFmtId="0" fontId="0" fillId="23" borderId="7" applyNumberFormat="0" applyFont="0" applyAlignment="0" applyProtection="0"/>
    <xf numFmtId="0" fontId="45" fillId="20"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2">
    <xf numFmtId="0" fontId="0" fillId="0" borderId="0" xfId="0" applyAlignment="1">
      <alignment/>
    </xf>
    <xf numFmtId="0" fontId="1" fillId="0" borderId="0" xfId="0" applyFont="1" applyAlignment="1">
      <alignment/>
    </xf>
    <xf numFmtId="172" fontId="1" fillId="0" borderId="0" xfId="0" applyNumberFormat="1" applyFont="1" applyAlignment="1">
      <alignment/>
    </xf>
    <xf numFmtId="0" fontId="2" fillId="0" borderId="0" xfId="0" applyFont="1" applyAlignment="1">
      <alignment/>
    </xf>
    <xf numFmtId="0" fontId="3" fillId="0" borderId="0" xfId="0" applyFont="1" applyAlignment="1">
      <alignment/>
    </xf>
    <xf numFmtId="172" fontId="3" fillId="0" borderId="0" xfId="0" applyNumberFormat="1" applyFont="1" applyAlignment="1">
      <alignment/>
    </xf>
    <xf numFmtId="0" fontId="3" fillId="0" borderId="0" xfId="0" applyFont="1" applyAlignment="1">
      <alignment horizontal="center"/>
    </xf>
    <xf numFmtId="172" fontId="3" fillId="0" borderId="10" xfId="0" applyNumberFormat="1" applyFont="1" applyBorder="1" applyAlignment="1">
      <alignment horizontal="center"/>
    </xf>
    <xf numFmtId="0" fontId="3" fillId="0" borderId="11" xfId="0" applyFont="1" applyBorder="1" applyAlignment="1">
      <alignment/>
    </xf>
    <xf numFmtId="3" fontId="3" fillId="0" borderId="11" xfId="0" applyNumberFormat="1" applyFont="1" applyBorder="1" applyAlignment="1">
      <alignment/>
    </xf>
    <xf numFmtId="172" fontId="3" fillId="0" borderId="11" xfId="0" applyNumberFormat="1" applyFont="1" applyBorder="1" applyAlignment="1">
      <alignment/>
    </xf>
    <xf numFmtId="0" fontId="3" fillId="0" borderId="12" xfId="0" applyFont="1" applyBorder="1" applyAlignment="1">
      <alignment/>
    </xf>
    <xf numFmtId="0" fontId="4" fillId="0" borderId="10" xfId="0" applyFont="1" applyBorder="1" applyAlignment="1">
      <alignment/>
    </xf>
    <xf numFmtId="172" fontId="3" fillId="0" borderId="11" xfId="0" applyNumberFormat="1" applyFont="1" applyBorder="1" applyAlignment="1">
      <alignment horizontal="center"/>
    </xf>
    <xf numFmtId="0" fontId="5" fillId="0" borderId="0" xfId="0" applyFont="1" applyAlignment="1">
      <alignment/>
    </xf>
    <xf numFmtId="0" fontId="4" fillId="0" borderId="13" xfId="0" applyFont="1" applyBorder="1" applyAlignment="1">
      <alignment/>
    </xf>
    <xf numFmtId="0" fontId="4" fillId="0" borderId="0" xfId="0" applyFont="1" applyBorder="1" applyAlignment="1">
      <alignment/>
    </xf>
    <xf numFmtId="172" fontId="3" fillId="0" borderId="0" xfId="0" applyNumberFormat="1" applyFont="1" applyBorder="1" applyAlignment="1">
      <alignment/>
    </xf>
    <xf numFmtId="0" fontId="4" fillId="0" borderId="14" xfId="0" applyFont="1" applyBorder="1" applyAlignment="1">
      <alignment/>
    </xf>
    <xf numFmtId="172" fontId="3" fillId="0" borderId="14" xfId="0" applyNumberFormat="1" applyFont="1" applyBorder="1" applyAlignment="1">
      <alignment/>
    </xf>
    <xf numFmtId="0" fontId="3" fillId="0" borderId="15" xfId="0" applyFont="1" applyBorder="1" applyAlignment="1">
      <alignment/>
    </xf>
    <xf numFmtId="0" fontId="3" fillId="0" borderId="0" xfId="0" applyFont="1" applyBorder="1" applyAlignment="1">
      <alignment/>
    </xf>
    <xf numFmtId="0" fontId="4" fillId="0" borderId="16" xfId="0" applyFont="1" applyBorder="1" applyAlignment="1">
      <alignment/>
    </xf>
    <xf numFmtId="172" fontId="3" fillId="0" borderId="11" xfId="0" applyNumberFormat="1" applyFont="1" applyFill="1" applyBorder="1" applyAlignment="1">
      <alignment/>
    </xf>
    <xf numFmtId="0" fontId="4" fillId="3" borderId="0" xfId="0" applyFont="1" applyFill="1" applyBorder="1" applyAlignment="1">
      <alignment/>
    </xf>
    <xf numFmtId="172" fontId="3" fillId="0" borderId="13" xfId="0" applyNumberFormat="1" applyFont="1" applyFill="1" applyBorder="1" applyAlignment="1">
      <alignment/>
    </xf>
    <xf numFmtId="0" fontId="2" fillId="0" borderId="0" xfId="0" applyFont="1" applyAlignment="1">
      <alignment horizontal="center"/>
    </xf>
    <xf numFmtId="172" fontId="3" fillId="0" borderId="17" xfId="0" applyNumberFormat="1" applyFont="1" applyBorder="1" applyAlignment="1">
      <alignment/>
    </xf>
    <xf numFmtId="0" fontId="3" fillId="0" borderId="11" xfId="0" applyFont="1" applyBorder="1" applyAlignment="1">
      <alignment horizontal="center"/>
    </xf>
    <xf numFmtId="172" fontId="3" fillId="0" borderId="15" xfId="0" applyNumberFormat="1" applyFont="1" applyFill="1" applyBorder="1" applyAlignment="1">
      <alignment/>
    </xf>
    <xf numFmtId="3" fontId="3" fillId="0" borderId="10" xfId="0" applyNumberFormat="1" applyFont="1" applyBorder="1" applyAlignment="1">
      <alignment horizontal="center"/>
    </xf>
    <xf numFmtId="3" fontId="3" fillId="0" borderId="11" xfId="0" applyNumberFormat="1" applyFont="1" applyBorder="1" applyAlignment="1">
      <alignment horizontal="center"/>
    </xf>
    <xf numFmtId="0" fontId="8" fillId="0" borderId="0" xfId="55" applyFont="1">
      <alignment/>
      <protection/>
    </xf>
    <xf numFmtId="0" fontId="10" fillId="0" borderId="0" xfId="55" applyFont="1">
      <alignment/>
      <protection/>
    </xf>
    <xf numFmtId="0" fontId="3" fillId="0" borderId="0" xfId="55" applyFont="1" applyAlignment="1">
      <alignment horizontal="left"/>
      <protection/>
    </xf>
    <xf numFmtId="0" fontId="3" fillId="0" borderId="0" xfId="55" applyFont="1">
      <alignment/>
      <protection/>
    </xf>
    <xf numFmtId="0" fontId="5" fillId="0" borderId="13" xfId="55" applyFont="1" applyBorder="1" applyAlignment="1">
      <alignment horizontal="center" wrapText="1"/>
      <protection/>
    </xf>
    <xf numFmtId="0" fontId="5" fillId="0" borderId="13" xfId="55" applyFont="1" applyBorder="1" applyAlignment="1">
      <alignment horizontal="center"/>
      <protection/>
    </xf>
    <xf numFmtId="0" fontId="5" fillId="0" borderId="0" xfId="55" applyFont="1">
      <alignment/>
      <protection/>
    </xf>
    <xf numFmtId="0" fontId="5" fillId="0" borderId="13" xfId="55" applyFont="1" applyBorder="1" applyAlignment="1">
      <alignment horizontal="left" wrapText="1"/>
      <protection/>
    </xf>
    <xf numFmtId="0" fontId="11" fillId="0" borderId="13" xfId="55" applyFont="1" applyBorder="1" applyAlignment="1">
      <alignment horizontal="center" wrapText="1"/>
      <protection/>
    </xf>
    <xf numFmtId="0" fontId="11" fillId="0" borderId="18" xfId="55" applyFont="1" applyBorder="1" applyAlignment="1">
      <alignment horizontal="center" vertical="top" wrapText="1"/>
      <protection/>
    </xf>
    <xf numFmtId="0" fontId="11" fillId="0" borderId="18" xfId="55" applyFont="1" applyBorder="1" applyAlignment="1">
      <alignment horizontal="justify" vertical="top" wrapText="1"/>
      <protection/>
    </xf>
    <xf numFmtId="0" fontId="5" fillId="0" borderId="18" xfId="55" applyFont="1" applyBorder="1" applyAlignment="1">
      <alignment horizontal="center"/>
      <protection/>
    </xf>
    <xf numFmtId="0" fontId="5" fillId="0" borderId="18" xfId="55" applyFont="1" applyBorder="1" applyAlignment="1">
      <alignment horizontal="left"/>
      <protection/>
    </xf>
    <xf numFmtId="0" fontId="3" fillId="0" borderId="18" xfId="55" applyFont="1" applyBorder="1">
      <alignment/>
      <protection/>
    </xf>
    <xf numFmtId="0" fontId="3" fillId="0" borderId="18" xfId="55" applyFont="1" applyBorder="1" applyAlignment="1">
      <alignment horizontal="center"/>
      <protection/>
    </xf>
    <xf numFmtId="0" fontId="3" fillId="0" borderId="0" xfId="55" applyFont="1" applyAlignment="1">
      <alignment horizontal="center"/>
      <protection/>
    </xf>
    <xf numFmtId="0" fontId="12" fillId="0" borderId="0" xfId="55" applyFont="1" applyAlignment="1">
      <alignment/>
      <protection/>
    </xf>
    <xf numFmtId="0" fontId="8" fillId="0" borderId="0" xfId="55" applyFont="1" applyAlignment="1">
      <alignment/>
      <protection/>
    </xf>
    <xf numFmtId="0" fontId="11" fillId="0" borderId="0" xfId="55" applyFont="1">
      <alignment/>
      <protection/>
    </xf>
    <xf numFmtId="3" fontId="10" fillId="0" borderId="0" xfId="55" applyNumberFormat="1" applyFont="1">
      <alignment/>
      <protection/>
    </xf>
    <xf numFmtId="3" fontId="8" fillId="0" borderId="0" xfId="55" applyNumberFormat="1" applyFont="1">
      <alignment/>
      <protection/>
    </xf>
    <xf numFmtId="3" fontId="3" fillId="0" borderId="0" xfId="55" applyNumberFormat="1" applyFont="1">
      <alignment/>
      <protection/>
    </xf>
    <xf numFmtId="3" fontId="5" fillId="0" borderId="18" xfId="55" applyNumberFormat="1" applyFont="1" applyBorder="1" applyAlignment="1">
      <alignment horizontal="center" wrapText="1"/>
      <protection/>
    </xf>
    <xf numFmtId="3" fontId="5" fillId="0" borderId="13" xfId="55" applyNumberFormat="1" applyFont="1" applyBorder="1" applyAlignment="1">
      <alignment horizontal="center" wrapText="1"/>
      <protection/>
    </xf>
    <xf numFmtId="3" fontId="3" fillId="0" borderId="18" xfId="55" applyNumberFormat="1" applyFont="1" applyBorder="1" applyAlignment="1">
      <alignment horizontal="right" vertical="top" wrapText="1"/>
      <protection/>
    </xf>
    <xf numFmtId="3" fontId="5" fillId="0" borderId="13" xfId="55" applyNumberFormat="1" applyFont="1" applyBorder="1" applyAlignment="1">
      <alignment horizontal="right" wrapText="1"/>
      <protection/>
    </xf>
    <xf numFmtId="3" fontId="3" fillId="0" borderId="18" xfId="55" applyNumberFormat="1" applyFont="1" applyBorder="1" applyAlignment="1">
      <alignment horizontal="right"/>
      <protection/>
    </xf>
    <xf numFmtId="3" fontId="1" fillId="0" borderId="0" xfId="0" applyNumberFormat="1" applyFont="1" applyAlignment="1">
      <alignment/>
    </xf>
    <xf numFmtId="3" fontId="3" fillId="0" borderId="0" xfId="0" applyNumberFormat="1" applyFont="1" applyAlignment="1">
      <alignment/>
    </xf>
    <xf numFmtId="3" fontId="3" fillId="0" borderId="14" xfId="0" applyNumberFormat="1" applyFont="1" applyBorder="1" applyAlignment="1">
      <alignment/>
    </xf>
    <xf numFmtId="3" fontId="3" fillId="0" borderId="11" xfId="0" applyNumberFormat="1" applyFont="1" applyBorder="1" applyAlignment="1">
      <alignment horizontal="left"/>
    </xf>
    <xf numFmtId="0" fontId="3" fillId="0" borderId="19" xfId="0" applyFont="1" applyBorder="1" applyAlignment="1">
      <alignment/>
    </xf>
    <xf numFmtId="3" fontId="3" fillId="0" borderId="19" xfId="0" applyNumberFormat="1" applyFont="1" applyBorder="1" applyAlignment="1">
      <alignment/>
    </xf>
    <xf numFmtId="172" fontId="3" fillId="0" borderId="19" xfId="0" applyNumberFormat="1" applyFont="1" applyFill="1" applyBorder="1" applyAlignment="1">
      <alignment/>
    </xf>
    <xf numFmtId="3" fontId="3" fillId="0" borderId="13" xfId="0" applyNumberFormat="1" applyFont="1" applyBorder="1" applyAlignment="1">
      <alignment/>
    </xf>
    <xf numFmtId="3" fontId="3" fillId="0" borderId="0" xfId="0" applyNumberFormat="1" applyFont="1" applyBorder="1" applyAlignment="1">
      <alignment/>
    </xf>
    <xf numFmtId="3" fontId="3" fillId="0" borderId="15" xfId="0" applyNumberFormat="1" applyFont="1" applyBorder="1" applyAlignment="1">
      <alignment/>
    </xf>
    <xf numFmtId="172" fontId="3" fillId="0" borderId="15" xfId="0" applyNumberFormat="1" applyFont="1" applyBorder="1" applyAlignment="1">
      <alignment/>
    </xf>
    <xf numFmtId="172" fontId="5" fillId="0" borderId="11" xfId="0" applyNumberFormat="1" applyFont="1" applyBorder="1" applyAlignment="1">
      <alignment/>
    </xf>
    <xf numFmtId="0" fontId="3" fillId="0" borderId="11" xfId="0" applyFont="1" applyFill="1" applyBorder="1" applyAlignment="1">
      <alignment/>
    </xf>
    <xf numFmtId="3" fontId="3" fillId="0" borderId="12" xfId="0" applyNumberFormat="1" applyFont="1" applyBorder="1" applyAlignment="1">
      <alignment/>
    </xf>
    <xf numFmtId="172" fontId="3" fillId="0" borderId="12" xfId="0" applyNumberFormat="1" applyFont="1" applyBorder="1" applyAlignment="1">
      <alignment horizontal="right"/>
    </xf>
    <xf numFmtId="3" fontId="3" fillId="0" borderId="13" xfId="0" applyNumberFormat="1" applyFont="1" applyFill="1" applyBorder="1" applyAlignment="1">
      <alignment/>
    </xf>
    <xf numFmtId="172" fontId="3" fillId="0" borderId="12" xfId="0" applyNumberFormat="1" applyFont="1" applyFill="1" applyBorder="1" applyAlignment="1">
      <alignment/>
    </xf>
    <xf numFmtId="0" fontId="13" fillId="0" borderId="0" xfId="0" applyFont="1" applyAlignment="1">
      <alignment vertical="center"/>
    </xf>
    <xf numFmtId="172" fontId="13" fillId="0" borderId="0" xfId="0" applyNumberFormat="1" applyFont="1" applyAlignment="1">
      <alignment vertical="center"/>
    </xf>
    <xf numFmtId="173" fontId="13" fillId="0" borderId="0" xfId="42" applyNumberFormat="1" applyFont="1" applyAlignment="1">
      <alignment horizontal="right" vertical="center"/>
    </xf>
    <xf numFmtId="173" fontId="14" fillId="0" borderId="0" xfId="42" applyNumberFormat="1" applyFont="1" applyAlignment="1">
      <alignment vertical="center"/>
    </xf>
    <xf numFmtId="173" fontId="0" fillId="0" borderId="0" xfId="42" applyNumberFormat="1" applyFont="1" applyAlignment="1">
      <alignment/>
    </xf>
    <xf numFmtId="0" fontId="14" fillId="0" borderId="0" xfId="0" applyFont="1" applyAlignment="1">
      <alignment vertical="center"/>
    </xf>
    <xf numFmtId="173" fontId="5" fillId="0" borderId="0" xfId="42" applyNumberFormat="1" applyFont="1" applyAlignment="1">
      <alignment vertical="center"/>
    </xf>
    <xf numFmtId="172" fontId="5" fillId="0" borderId="0" xfId="0" applyNumberFormat="1" applyFont="1" applyAlignment="1">
      <alignment vertical="center"/>
    </xf>
    <xf numFmtId="0" fontId="3" fillId="0" borderId="0" xfId="0" applyFont="1" applyAlignment="1">
      <alignment vertical="center"/>
    </xf>
    <xf numFmtId="172" fontId="2" fillId="0" borderId="0" xfId="0" applyNumberFormat="1" applyFont="1" applyAlignment="1">
      <alignment vertical="center"/>
    </xf>
    <xf numFmtId="173" fontId="13" fillId="0" borderId="0" xfId="42" applyNumberFormat="1" applyFont="1" applyAlignment="1">
      <alignment vertical="center"/>
    </xf>
    <xf numFmtId="0" fontId="13" fillId="0" borderId="0" xfId="0" applyFont="1" applyAlignment="1">
      <alignment vertical="center"/>
    </xf>
    <xf numFmtId="172" fontId="3" fillId="0" borderId="0" xfId="0" applyNumberFormat="1" applyFont="1" applyAlignment="1">
      <alignment vertical="center"/>
    </xf>
    <xf numFmtId="173" fontId="3" fillId="0" borderId="0" xfId="42" applyNumberFormat="1" applyFont="1" applyAlignment="1">
      <alignment vertical="center"/>
    </xf>
    <xf numFmtId="0" fontId="3" fillId="0" borderId="0" xfId="0" applyFont="1" applyAlignment="1">
      <alignment horizontal="right" vertical="center"/>
    </xf>
    <xf numFmtId="0" fontId="15" fillId="0" borderId="0" xfId="0" applyFont="1" applyAlignment="1">
      <alignment/>
    </xf>
    <xf numFmtId="173" fontId="15" fillId="0" borderId="0" xfId="42" applyNumberFormat="1" applyFont="1" applyAlignment="1">
      <alignment/>
    </xf>
    <xf numFmtId="0" fontId="15" fillId="0" borderId="0" xfId="0" applyFont="1" applyFill="1" applyAlignment="1">
      <alignment/>
    </xf>
    <xf numFmtId="173" fontId="15" fillId="0" borderId="0" xfId="42" applyNumberFormat="1" applyFont="1" applyFill="1" applyAlignment="1">
      <alignment/>
    </xf>
    <xf numFmtId="0" fontId="16" fillId="0" borderId="11" xfId="0" applyFont="1" applyBorder="1" applyAlignment="1">
      <alignment horizontal="center" vertical="center"/>
    </xf>
    <xf numFmtId="0" fontId="5" fillId="0" borderId="11" xfId="0" applyFont="1" applyBorder="1" applyAlignment="1">
      <alignment vertical="center"/>
    </xf>
    <xf numFmtId="0" fontId="3" fillId="0" borderId="11" xfId="0" applyFont="1" applyBorder="1" applyAlignment="1">
      <alignment vertical="center"/>
    </xf>
    <xf numFmtId="173" fontId="5" fillId="0" borderId="11" xfId="42" applyNumberFormat="1" applyFont="1" applyBorder="1" applyAlignment="1">
      <alignment vertical="center"/>
    </xf>
    <xf numFmtId="175" fontId="5" fillId="0" borderId="11" xfId="0" applyNumberFormat="1" applyFont="1" applyBorder="1" applyAlignment="1">
      <alignment vertical="center"/>
    </xf>
    <xf numFmtId="173" fontId="3" fillId="0" borderId="11" xfId="42" applyNumberFormat="1" applyFont="1" applyBorder="1" applyAlignment="1">
      <alignment vertical="center"/>
    </xf>
    <xf numFmtId="175" fontId="3" fillId="0" borderId="11" xfId="0" applyNumberFormat="1" applyFont="1" applyBorder="1" applyAlignment="1">
      <alignment vertical="center"/>
    </xf>
    <xf numFmtId="0" fontId="17" fillId="0" borderId="0" xfId="0" applyFont="1" applyAlignment="1">
      <alignment/>
    </xf>
    <xf numFmtId="173" fontId="17" fillId="0" borderId="0" xfId="42" applyNumberFormat="1" applyFont="1" applyAlignment="1">
      <alignment/>
    </xf>
    <xf numFmtId="0" fontId="5" fillId="0" borderId="11" xfId="0" applyFont="1" applyFill="1" applyBorder="1" applyAlignment="1">
      <alignment vertical="center"/>
    </xf>
    <xf numFmtId="173" fontId="5" fillId="0" borderId="11" xfId="42" applyNumberFormat="1" applyFont="1" applyFill="1" applyBorder="1" applyAlignment="1">
      <alignment horizontal="right" vertical="center"/>
    </xf>
    <xf numFmtId="173" fontId="5" fillId="0" borderId="11" xfId="42" applyNumberFormat="1" applyFont="1" applyFill="1" applyBorder="1" applyAlignment="1">
      <alignment vertical="center"/>
    </xf>
    <xf numFmtId="0" fontId="3" fillId="0" borderId="11" xfId="0" applyFont="1" applyFill="1" applyBorder="1" applyAlignment="1">
      <alignment vertical="center"/>
    </xf>
    <xf numFmtId="173" fontId="3" fillId="0" borderId="11" xfId="42" applyNumberFormat="1" applyFont="1" applyFill="1" applyBorder="1" applyAlignment="1">
      <alignment horizontal="right" vertical="center"/>
    </xf>
    <xf numFmtId="173" fontId="3" fillId="0" borderId="11" xfId="42" applyNumberFormat="1" applyFont="1" applyFill="1" applyBorder="1" applyAlignment="1">
      <alignment vertical="center"/>
    </xf>
    <xf numFmtId="175" fontId="3" fillId="0" borderId="11" xfId="0" applyNumberFormat="1" applyFont="1" applyFill="1" applyBorder="1" applyAlignment="1">
      <alignment horizontal="right" vertical="center"/>
    </xf>
    <xf numFmtId="0" fontId="5" fillId="0" borderId="11" xfId="0" applyFont="1" applyFill="1" applyBorder="1" applyAlignment="1">
      <alignment horizontal="left" vertical="center"/>
    </xf>
    <xf numFmtId="175" fontId="5" fillId="0" borderId="11" xfId="0" applyNumberFormat="1" applyFont="1" applyFill="1" applyBorder="1" applyAlignment="1">
      <alignment horizontal="right" vertical="center"/>
    </xf>
    <xf numFmtId="173" fontId="13" fillId="0" borderId="11" xfId="42" applyNumberFormat="1" applyFont="1" applyFill="1" applyBorder="1" applyAlignment="1">
      <alignment vertical="center"/>
    </xf>
    <xf numFmtId="173" fontId="15" fillId="0" borderId="0" xfId="0" applyNumberFormat="1" applyFont="1" applyAlignment="1">
      <alignment/>
    </xf>
    <xf numFmtId="173" fontId="14" fillId="0" borderId="11" xfId="42" applyNumberFormat="1" applyFont="1" applyFill="1" applyBorder="1" applyAlignment="1">
      <alignment horizontal="right" vertical="center"/>
    </xf>
    <xf numFmtId="0" fontId="15" fillId="0" borderId="11" xfId="0" applyFont="1" applyBorder="1" applyAlignment="1">
      <alignment horizontal="center" vertical="center"/>
    </xf>
    <xf numFmtId="0" fontId="5" fillId="0" borderId="11" xfId="0" applyFont="1" applyBorder="1" applyAlignment="1">
      <alignment horizontal="left" vertical="center"/>
    </xf>
    <xf numFmtId="0" fontId="3" fillId="0" borderId="11" xfId="0" applyFont="1" applyBorder="1" applyAlignment="1">
      <alignment horizontal="left" vertical="center"/>
    </xf>
    <xf numFmtId="175" fontId="3" fillId="0" borderId="11" xfId="0" applyNumberFormat="1" applyFont="1" applyBorder="1" applyAlignment="1">
      <alignment horizontal="right" vertical="center"/>
    </xf>
    <xf numFmtId="175" fontId="3" fillId="0" borderId="11" xfId="0" applyNumberFormat="1" applyFont="1" applyFill="1" applyBorder="1" applyAlignment="1">
      <alignment vertical="center"/>
    </xf>
    <xf numFmtId="173" fontId="3" fillId="24" borderId="11" xfId="42" applyNumberFormat="1" applyFont="1" applyFill="1" applyBorder="1" applyAlignment="1">
      <alignment vertical="center"/>
    </xf>
    <xf numFmtId="173" fontId="3" fillId="0" borderId="11" xfId="42" applyNumberFormat="1" applyFont="1" applyBorder="1" applyAlignment="1">
      <alignment horizontal="right" vertical="center"/>
    </xf>
    <xf numFmtId="0" fontId="24" fillId="0" borderId="11" xfId="0" applyFont="1" applyBorder="1" applyAlignment="1">
      <alignment horizontal="center" vertical="center"/>
    </xf>
    <xf numFmtId="0" fontId="11" fillId="0" borderId="11" xfId="0" applyFont="1" applyBorder="1" applyAlignment="1">
      <alignment horizontal="left" vertical="center"/>
    </xf>
    <xf numFmtId="173" fontId="11" fillId="0" borderId="11" xfId="42" applyNumberFormat="1" applyFont="1" applyFill="1" applyBorder="1" applyAlignment="1">
      <alignment vertical="center"/>
    </xf>
    <xf numFmtId="173" fontId="11" fillId="0" borderId="11" xfId="42" applyNumberFormat="1" applyFont="1" applyBorder="1" applyAlignment="1">
      <alignment vertical="center"/>
    </xf>
    <xf numFmtId="175" fontId="11" fillId="0" borderId="11" xfId="0" applyNumberFormat="1" applyFont="1" applyBorder="1" applyAlignment="1">
      <alignment horizontal="right" vertical="center"/>
    </xf>
    <xf numFmtId="0" fontId="25" fillId="0" borderId="0" xfId="0" applyFont="1" applyAlignment="1">
      <alignment/>
    </xf>
    <xf numFmtId="173" fontId="25" fillId="0" borderId="0" xfId="42" applyNumberFormat="1" applyFont="1" applyAlignment="1">
      <alignment/>
    </xf>
    <xf numFmtId="173" fontId="14" fillId="0" borderId="11" xfId="42" applyNumberFormat="1" applyFont="1" applyBorder="1" applyAlignment="1">
      <alignment horizontal="right" vertical="center"/>
    </xf>
    <xf numFmtId="0" fontId="4" fillId="0" borderId="11" xfId="0" applyFont="1" applyBorder="1" applyAlignment="1">
      <alignment horizontal="left" vertical="center"/>
    </xf>
    <xf numFmtId="0" fontId="24" fillId="0" borderId="0" xfId="0" applyFont="1" applyAlignment="1">
      <alignment/>
    </xf>
    <xf numFmtId="173" fontId="24" fillId="0" borderId="0" xfId="42" applyNumberFormat="1" applyFont="1" applyAlignment="1">
      <alignment/>
    </xf>
    <xf numFmtId="0" fontId="17" fillId="0" borderId="11" xfId="0" applyFont="1" applyBorder="1" applyAlignment="1">
      <alignment horizontal="center" vertical="center"/>
    </xf>
    <xf numFmtId="0" fontId="4" fillId="0" borderId="11" xfId="0" applyFont="1" applyBorder="1" applyAlignment="1">
      <alignment vertical="center"/>
    </xf>
    <xf numFmtId="0" fontId="17" fillId="0" borderId="11" xfId="0" applyFont="1" applyBorder="1" applyAlignment="1">
      <alignment horizontal="left" vertical="center"/>
    </xf>
    <xf numFmtId="173" fontId="3" fillId="0" borderId="19" xfId="42" applyNumberFormat="1" applyFont="1" applyBorder="1" applyAlignment="1">
      <alignment vertical="center"/>
    </xf>
    <xf numFmtId="0" fontId="4" fillId="0" borderId="11" xfId="0" applyFont="1" applyFill="1" applyBorder="1" applyAlignment="1">
      <alignment vertical="center"/>
    </xf>
    <xf numFmtId="173" fontId="5" fillId="0" borderId="15" xfId="42" applyNumberFormat="1" applyFont="1" applyBorder="1" applyAlignment="1">
      <alignment vertical="center"/>
    </xf>
    <xf numFmtId="175" fontId="5" fillId="0" borderId="11" xfId="0" applyNumberFormat="1" applyFont="1" applyBorder="1" applyAlignment="1">
      <alignment horizontal="right" vertical="center"/>
    </xf>
    <xf numFmtId="0" fontId="11" fillId="0" borderId="11" xfId="0" applyFont="1" applyFill="1" applyBorder="1" applyAlignment="1">
      <alignment vertical="center"/>
    </xf>
    <xf numFmtId="174" fontId="11" fillId="0" borderId="11" xfId="0" applyNumberFormat="1" applyFont="1" applyFill="1" applyBorder="1" applyAlignment="1">
      <alignment horizontal="right" vertical="center"/>
    </xf>
    <xf numFmtId="0" fontId="11" fillId="0" borderId="11" xfId="0" applyFont="1" applyBorder="1" applyAlignment="1">
      <alignment horizontal="left" vertical="center" wrapText="1"/>
    </xf>
    <xf numFmtId="0" fontId="11" fillId="0" borderId="11" xfId="0" applyFont="1" applyBorder="1" applyAlignment="1">
      <alignment vertical="center"/>
    </xf>
    <xf numFmtId="173" fontId="26" fillId="0" borderId="11" xfId="42" applyNumberFormat="1" applyFont="1" applyFill="1" applyBorder="1" applyAlignment="1">
      <alignment vertical="center"/>
    </xf>
    <xf numFmtId="0" fontId="3" fillId="0" borderId="11" xfId="0" applyFont="1" applyBorder="1" applyAlignment="1">
      <alignment vertical="center" wrapText="1"/>
    </xf>
    <xf numFmtId="0" fontId="18" fillId="0" borderId="0" xfId="0" applyFont="1" applyBorder="1" applyAlignment="1">
      <alignment horizontal="center" vertical="center"/>
    </xf>
    <xf numFmtId="173" fontId="3" fillId="0" borderId="0" xfId="42" applyNumberFormat="1" applyFont="1" applyBorder="1" applyAlignment="1">
      <alignment vertical="center"/>
    </xf>
    <xf numFmtId="0" fontId="17" fillId="0" borderId="0" xfId="0" applyFont="1" applyFill="1" applyBorder="1" applyAlignment="1">
      <alignment vertical="center"/>
    </xf>
    <xf numFmtId="173" fontId="18" fillId="0" borderId="0" xfId="42" applyNumberFormat="1" applyFont="1" applyFill="1" applyBorder="1" applyAlignment="1">
      <alignment horizontal="right" vertical="center"/>
    </xf>
    <xf numFmtId="173" fontId="27" fillId="0" borderId="0" xfId="42" applyNumberFormat="1" applyFont="1" applyAlignment="1">
      <alignment horizontal="right" vertical="center"/>
    </xf>
    <xf numFmtId="173" fontId="28" fillId="0" borderId="0" xfId="42" applyNumberFormat="1" applyFont="1" applyAlignment="1">
      <alignment horizontal="left" vertical="center"/>
    </xf>
    <xf numFmtId="173" fontId="27" fillId="0" borderId="0" xfId="42" applyNumberFormat="1" applyFont="1" applyAlignment="1">
      <alignment horizontal="left" vertical="center"/>
    </xf>
    <xf numFmtId="173" fontId="25" fillId="0" borderId="0" xfId="42" applyNumberFormat="1" applyFont="1" applyAlignment="1">
      <alignment vertical="center"/>
    </xf>
    <xf numFmtId="174" fontId="27" fillId="0" borderId="0" xfId="0" applyNumberFormat="1" applyFont="1" applyAlignment="1">
      <alignment horizontal="right" vertical="center"/>
    </xf>
    <xf numFmtId="173" fontId="29" fillId="0" borderId="0" xfId="42" applyNumberFormat="1" applyFont="1" applyAlignment="1">
      <alignment horizontal="right" vertical="center"/>
    </xf>
    <xf numFmtId="173" fontId="14" fillId="0" borderId="0" xfId="42" applyNumberFormat="1" applyFont="1" applyAlignment="1">
      <alignment horizontal="left" vertical="center"/>
    </xf>
    <xf numFmtId="173" fontId="21" fillId="0" borderId="0" xfId="42" applyNumberFormat="1" applyFont="1" applyAlignment="1">
      <alignment vertical="center"/>
    </xf>
    <xf numFmtId="172" fontId="21" fillId="0" borderId="0" xfId="0" applyNumberFormat="1" applyFont="1" applyAlignment="1">
      <alignment vertical="center"/>
    </xf>
    <xf numFmtId="173" fontId="30" fillId="0" borderId="0" xfId="42" applyNumberFormat="1" applyFont="1" applyBorder="1" applyAlignment="1">
      <alignment vertical="center"/>
    </xf>
    <xf numFmtId="175" fontId="25" fillId="0" borderId="0" xfId="0" applyNumberFormat="1"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left" vertical="center"/>
    </xf>
    <xf numFmtId="175" fontId="17" fillId="0" borderId="0" xfId="0" applyNumberFormat="1" applyFont="1" applyBorder="1" applyAlignment="1">
      <alignment vertical="center"/>
    </xf>
    <xf numFmtId="0" fontId="0" fillId="0" borderId="0" xfId="0" applyFont="1" applyAlignment="1">
      <alignment vertical="center"/>
    </xf>
    <xf numFmtId="172" fontId="19" fillId="0" borderId="0" xfId="0" applyNumberFormat="1" applyFont="1" applyAlignment="1">
      <alignment vertical="center"/>
    </xf>
    <xf numFmtId="173" fontId="18" fillId="0" borderId="0" xfId="42" applyNumberFormat="1" applyFont="1" applyAlignment="1">
      <alignment horizontal="right"/>
    </xf>
    <xf numFmtId="0" fontId="0" fillId="0" borderId="0" xfId="0" applyAlignment="1">
      <alignment horizontal="center"/>
    </xf>
    <xf numFmtId="172" fontId="17" fillId="0" borderId="0" xfId="0" applyNumberFormat="1" applyFont="1" applyAlignment="1">
      <alignment vertical="center"/>
    </xf>
    <xf numFmtId="172" fontId="1" fillId="0" borderId="0" xfId="0" applyNumberFormat="1" applyFont="1" applyAlignment="1">
      <alignment horizontal="center"/>
    </xf>
    <xf numFmtId="172" fontId="3" fillId="0" borderId="0" xfId="0" applyNumberFormat="1" applyFont="1" applyAlignment="1">
      <alignment horizontal="center"/>
    </xf>
    <xf numFmtId="172" fontId="3" fillId="0" borderId="14" xfId="0" applyNumberFormat="1" applyFont="1" applyBorder="1" applyAlignment="1">
      <alignment horizontal="center"/>
    </xf>
    <xf numFmtId="172" fontId="3" fillId="0" borderId="11" xfId="0" applyNumberFormat="1" applyFont="1" applyFill="1" applyBorder="1" applyAlignment="1">
      <alignment horizontal="center"/>
    </xf>
    <xf numFmtId="172" fontId="3" fillId="0" borderId="19" xfId="0" applyNumberFormat="1" applyFont="1" applyBorder="1" applyAlignment="1">
      <alignment horizontal="center"/>
    </xf>
    <xf numFmtId="172" fontId="3" fillId="0" borderId="13" xfId="0" applyNumberFormat="1" applyFont="1" applyBorder="1" applyAlignment="1">
      <alignment horizontal="center"/>
    </xf>
    <xf numFmtId="172" fontId="3" fillId="0" borderId="0" xfId="0" applyNumberFormat="1" applyFont="1" applyBorder="1" applyAlignment="1">
      <alignment horizontal="center"/>
    </xf>
    <xf numFmtId="172" fontId="3" fillId="0" borderId="15" xfId="0" applyNumberFormat="1" applyFont="1" applyBorder="1" applyAlignment="1">
      <alignment horizontal="center"/>
    </xf>
    <xf numFmtId="172" fontId="3" fillId="0" borderId="12" xfId="0" applyNumberFormat="1" applyFont="1" applyBorder="1" applyAlignment="1">
      <alignment horizontal="center"/>
    </xf>
    <xf numFmtId="172" fontId="3" fillId="0" borderId="0" xfId="0" applyNumberFormat="1" applyFont="1" applyFill="1" applyBorder="1" applyAlignment="1">
      <alignment horizontal="center"/>
    </xf>
    <xf numFmtId="176" fontId="3" fillId="0" borderId="18" xfId="55" applyNumberFormat="1" applyFont="1" applyBorder="1" applyAlignment="1">
      <alignment horizontal="right" vertical="top" wrapText="1"/>
      <protection/>
    </xf>
    <xf numFmtId="172" fontId="49" fillId="0" borderId="0" xfId="0" applyNumberFormat="1" applyFont="1" applyAlignment="1">
      <alignment vertical="center"/>
    </xf>
    <xf numFmtId="172" fontId="14" fillId="0" borderId="0" xfId="0" applyNumberFormat="1" applyFont="1" applyAlignment="1">
      <alignment vertical="center"/>
    </xf>
    <xf numFmtId="172" fontId="50" fillId="0" borderId="0" xfId="0" applyNumberFormat="1" applyFont="1" applyAlignment="1">
      <alignment vertical="center"/>
    </xf>
    <xf numFmtId="173" fontId="28" fillId="0" borderId="0" xfId="42" applyNumberFormat="1" applyFont="1" applyAlignment="1">
      <alignment/>
    </xf>
    <xf numFmtId="0" fontId="11" fillId="0" borderId="0" xfId="0" applyFont="1" applyAlignment="1">
      <alignment vertical="center"/>
    </xf>
    <xf numFmtId="1" fontId="5" fillId="0" borderId="20" xfId="0" applyNumberFormat="1" applyFont="1" applyBorder="1" applyAlignment="1">
      <alignment horizontal="center" vertical="center" wrapText="1"/>
    </xf>
    <xf numFmtId="0" fontId="16" fillId="0" borderId="18" xfId="0" applyFont="1" applyBorder="1" applyAlignment="1">
      <alignment horizontal="center" vertical="center"/>
    </xf>
    <xf numFmtId="0" fontId="5" fillId="0" borderId="18" xfId="0" applyFont="1" applyBorder="1" applyAlignment="1">
      <alignment vertical="center"/>
    </xf>
    <xf numFmtId="0" fontId="54" fillId="0" borderId="18" xfId="0" applyFont="1" applyBorder="1" applyAlignment="1">
      <alignment vertical="center"/>
    </xf>
    <xf numFmtId="173" fontId="3" fillId="0" borderId="18" xfId="42" applyNumberFormat="1" applyFont="1" applyBorder="1" applyAlignment="1">
      <alignment horizontal="center" vertical="center" wrapText="1"/>
    </xf>
    <xf numFmtId="174" fontId="3" fillId="0" borderId="18"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16" fillId="0" borderId="15" xfId="0" applyFont="1" applyBorder="1" applyAlignment="1">
      <alignment horizontal="center" vertical="center"/>
    </xf>
    <xf numFmtId="0" fontId="5" fillId="0" borderId="15" xfId="0" applyFont="1" applyBorder="1" applyAlignment="1">
      <alignment vertical="center"/>
    </xf>
    <xf numFmtId="0" fontId="3" fillId="0" borderId="15" xfId="0" applyFont="1" applyBorder="1" applyAlignment="1">
      <alignment vertical="center"/>
    </xf>
    <xf numFmtId="174" fontId="5" fillId="0" borderId="15" xfId="0" applyNumberFormat="1" applyFont="1" applyBorder="1" applyAlignment="1">
      <alignment vertical="center"/>
    </xf>
    <xf numFmtId="175" fontId="5" fillId="0" borderId="15" xfId="0" applyNumberFormat="1" applyFont="1" applyBorder="1" applyAlignment="1">
      <alignment vertical="center"/>
    </xf>
    <xf numFmtId="174" fontId="3" fillId="0" borderId="11" xfId="0" applyNumberFormat="1" applyFont="1" applyBorder="1" applyAlignment="1">
      <alignment vertical="center"/>
    </xf>
    <xf numFmtId="174" fontId="5" fillId="0" borderId="11" xfId="0" applyNumberFormat="1" applyFont="1" applyBorder="1" applyAlignment="1">
      <alignment vertical="center"/>
    </xf>
    <xf numFmtId="0" fontId="16" fillId="0" borderId="19" xfId="0" applyFont="1" applyBorder="1" applyAlignment="1">
      <alignment horizontal="center" vertical="center"/>
    </xf>
    <xf numFmtId="0" fontId="3" fillId="0" borderId="19" xfId="0" applyFont="1" applyBorder="1" applyAlignment="1">
      <alignment vertical="center"/>
    </xf>
    <xf numFmtId="174" fontId="3" fillId="0" borderId="19" xfId="0" applyNumberFormat="1" applyFont="1" applyBorder="1" applyAlignment="1">
      <alignment vertical="center"/>
    </xf>
    <xf numFmtId="175" fontId="3" fillId="0" borderId="19" xfId="0" applyNumberFormat="1" applyFont="1" applyBorder="1" applyAlignment="1">
      <alignment vertical="center"/>
    </xf>
    <xf numFmtId="0" fontId="16" fillId="0" borderId="18" xfId="0" applyFont="1" applyFill="1" applyBorder="1" applyAlignment="1">
      <alignment horizontal="center" vertical="center"/>
    </xf>
    <xf numFmtId="0" fontId="5" fillId="0" borderId="18" xfId="0" applyFont="1" applyFill="1" applyBorder="1" applyAlignment="1">
      <alignment vertical="center"/>
    </xf>
    <xf numFmtId="0" fontId="53" fillId="0" borderId="18" xfId="0" applyFont="1" applyFill="1" applyBorder="1" applyAlignment="1">
      <alignment vertical="center"/>
    </xf>
    <xf numFmtId="173" fontId="5" fillId="0" borderId="18" xfId="42" applyNumberFormat="1" applyFont="1" applyFill="1" applyBorder="1" applyAlignment="1">
      <alignment horizontal="right" vertical="center"/>
    </xf>
    <xf numFmtId="173" fontId="5" fillId="0" borderId="18" xfId="42" applyNumberFormat="1" applyFont="1" applyBorder="1" applyAlignment="1">
      <alignment horizontal="right" vertical="center"/>
    </xf>
    <xf numFmtId="0" fontId="15" fillId="0" borderId="15" xfId="0" applyFont="1" applyBorder="1" applyAlignment="1">
      <alignment horizontal="center" vertical="center"/>
    </xf>
    <xf numFmtId="175" fontId="5" fillId="0" borderId="15" xfId="0" applyNumberFormat="1" applyFont="1" applyBorder="1" applyAlignment="1">
      <alignment vertical="center"/>
    </xf>
    <xf numFmtId="173" fontId="5" fillId="0" borderId="15" xfId="42" applyNumberFormat="1" applyFont="1" applyBorder="1" applyAlignment="1">
      <alignment horizontal="right" vertical="center"/>
    </xf>
    <xf numFmtId="175" fontId="3" fillId="0" borderId="11" xfId="0" applyNumberFormat="1" applyFont="1" applyBorder="1" applyAlignment="1">
      <alignment vertical="center"/>
    </xf>
    <xf numFmtId="173" fontId="31" fillId="0" borderId="11" xfId="42" applyNumberFormat="1" applyFont="1" applyFill="1" applyBorder="1" applyAlignment="1">
      <alignment vertical="center"/>
    </xf>
    <xf numFmtId="174" fontId="5" fillId="0" borderId="11" xfId="0" applyNumberFormat="1" applyFont="1" applyFill="1" applyBorder="1" applyAlignment="1">
      <alignment vertical="center"/>
    </xf>
    <xf numFmtId="173" fontId="31" fillId="0" borderId="11" xfId="42" applyNumberFormat="1" applyFont="1" applyBorder="1" applyAlignment="1">
      <alignment vertical="center"/>
    </xf>
    <xf numFmtId="0" fontId="15" fillId="0" borderId="19" xfId="0" applyFont="1" applyBorder="1" applyAlignment="1">
      <alignment horizontal="center" vertical="center"/>
    </xf>
    <xf numFmtId="173" fontId="31" fillId="0" borderId="19" xfId="42" applyNumberFormat="1" applyFont="1" applyBorder="1" applyAlignment="1">
      <alignment vertical="center"/>
    </xf>
    <xf numFmtId="173" fontId="5" fillId="0" borderId="18" xfId="42" applyNumberFormat="1" applyFont="1" applyBorder="1" applyAlignment="1">
      <alignment vertical="center"/>
    </xf>
    <xf numFmtId="0" fontId="15" fillId="0" borderId="21" xfId="0" applyFont="1" applyBorder="1" applyAlignment="1">
      <alignment horizontal="center" vertical="center"/>
    </xf>
    <xf numFmtId="0" fontId="5" fillId="0" borderId="21" xfId="0" applyFont="1" applyBorder="1" applyAlignment="1">
      <alignment vertical="center"/>
    </xf>
    <xf numFmtId="173" fontId="5" fillId="0" borderId="21" xfId="42" applyNumberFormat="1" applyFont="1" applyBorder="1" applyAlignment="1">
      <alignment vertical="center"/>
    </xf>
    <xf numFmtId="0" fontId="19" fillId="0" borderId="18" xfId="0" applyFont="1" applyBorder="1" applyAlignment="1">
      <alignment horizontal="center" vertical="center"/>
    </xf>
    <xf numFmtId="0" fontId="14" fillId="0" borderId="18" xfId="0" applyFont="1" applyBorder="1" applyAlignment="1">
      <alignment vertical="center"/>
    </xf>
    <xf numFmtId="0" fontId="50" fillId="0" borderId="18" xfId="0" applyFont="1" applyBorder="1" applyAlignment="1">
      <alignment vertical="center"/>
    </xf>
    <xf numFmtId="173" fontId="14" fillId="0" borderId="18" xfId="42" applyNumberFormat="1" applyFont="1" applyBorder="1" applyAlignment="1">
      <alignment vertical="center"/>
    </xf>
    <xf numFmtId="174" fontId="14" fillId="0" borderId="18" xfId="0" applyNumberFormat="1" applyFont="1" applyBorder="1" applyAlignment="1">
      <alignment vertical="center"/>
    </xf>
    <xf numFmtId="175" fontId="5" fillId="0" borderId="18" xfId="0" applyNumberFormat="1" applyFont="1" applyBorder="1" applyAlignment="1">
      <alignment horizontal="right" vertical="center"/>
    </xf>
    <xf numFmtId="0" fontId="20" fillId="0" borderId="15" xfId="0" applyFont="1" applyBorder="1" applyAlignment="1">
      <alignment horizontal="center" vertical="center"/>
    </xf>
    <xf numFmtId="0" fontId="50" fillId="0" borderId="15" xfId="0" applyFont="1" applyBorder="1" applyAlignment="1">
      <alignment vertical="center"/>
    </xf>
    <xf numFmtId="173" fontId="14" fillId="0" borderId="15" xfId="42" applyNumberFormat="1" applyFont="1" applyBorder="1" applyAlignment="1">
      <alignment vertical="center"/>
    </xf>
    <xf numFmtId="174" fontId="14" fillId="0" borderId="15" xfId="0" applyNumberFormat="1" applyFont="1" applyBorder="1" applyAlignment="1">
      <alignment vertical="center"/>
    </xf>
    <xf numFmtId="175" fontId="5" fillId="0" borderId="15" xfId="0" applyNumberFormat="1" applyFont="1" applyBorder="1" applyAlignment="1">
      <alignment horizontal="right" vertical="center"/>
    </xf>
    <xf numFmtId="0" fontId="18" fillId="0" borderId="11" xfId="0" applyFont="1" applyBorder="1" applyAlignment="1">
      <alignment horizontal="center" vertical="center"/>
    </xf>
    <xf numFmtId="0" fontId="50" fillId="0" borderId="11" xfId="0" applyFont="1" applyBorder="1" applyAlignment="1">
      <alignment vertical="center"/>
    </xf>
    <xf numFmtId="173" fontId="13" fillId="0" borderId="11" xfId="42" applyNumberFormat="1" applyFont="1" applyBorder="1" applyAlignment="1">
      <alignment vertical="center"/>
    </xf>
    <xf numFmtId="174" fontId="13" fillId="0" borderId="11" xfId="0" applyNumberFormat="1" applyFont="1" applyBorder="1" applyAlignment="1">
      <alignment vertical="center"/>
    </xf>
    <xf numFmtId="0" fontId="18" fillId="0" borderId="19" xfId="0" applyFont="1" applyBorder="1" applyAlignment="1">
      <alignment horizontal="center" vertical="center"/>
    </xf>
    <xf numFmtId="0" fontId="13" fillId="0" borderId="19" xfId="0" applyFont="1" applyBorder="1" applyAlignment="1">
      <alignment vertical="center"/>
    </xf>
    <xf numFmtId="0" fontId="50" fillId="0" borderId="19" xfId="0" applyFont="1" applyBorder="1" applyAlignment="1">
      <alignment vertical="center"/>
    </xf>
    <xf numFmtId="173" fontId="13" fillId="0" borderId="19" xfId="42" applyNumberFormat="1" applyFont="1" applyBorder="1" applyAlignment="1">
      <alignment vertical="center"/>
    </xf>
    <xf numFmtId="174" fontId="13" fillId="0" borderId="19" xfId="0" applyNumberFormat="1" applyFont="1" applyBorder="1" applyAlignment="1">
      <alignment vertical="center"/>
    </xf>
    <xf numFmtId="175" fontId="3" fillId="0" borderId="19" xfId="0" applyNumberFormat="1" applyFont="1" applyBorder="1" applyAlignment="1">
      <alignment horizontal="right" vertical="center"/>
    </xf>
    <xf numFmtId="0" fontId="20" fillId="0" borderId="18" xfId="0" applyFont="1" applyBorder="1" applyAlignment="1">
      <alignment horizontal="center" vertical="center"/>
    </xf>
    <xf numFmtId="0" fontId="49" fillId="0" borderId="18" xfId="0" applyFont="1" applyBorder="1" applyAlignment="1">
      <alignment vertical="center"/>
    </xf>
    <xf numFmtId="0" fontId="15" fillId="0" borderId="18" xfId="0" applyFont="1" applyFill="1" applyBorder="1" applyAlignment="1">
      <alignment horizontal="center" vertical="center"/>
    </xf>
    <xf numFmtId="0" fontId="55" fillId="0" borderId="18" xfId="0" applyFont="1" applyFill="1" applyBorder="1" applyAlignment="1">
      <alignment vertical="center"/>
    </xf>
    <xf numFmtId="173" fontId="14" fillId="0" borderId="18" xfId="42" applyNumberFormat="1" applyFont="1" applyFill="1" applyBorder="1" applyAlignment="1">
      <alignment vertical="center"/>
    </xf>
    <xf numFmtId="0" fontId="21" fillId="0" borderId="18" xfId="0" applyFont="1" applyFill="1" applyBorder="1" applyAlignment="1">
      <alignment horizontal="center" vertical="center"/>
    </xf>
    <xf numFmtId="0" fontId="49" fillId="0" borderId="18" xfId="0" applyFont="1" applyFill="1" applyBorder="1" applyAlignment="1">
      <alignment vertical="center"/>
    </xf>
    <xf numFmtId="0" fontId="21" fillId="0" borderId="18" xfId="0" applyFont="1" applyBorder="1" applyAlignment="1">
      <alignment horizontal="center" vertical="center"/>
    </xf>
    <xf numFmtId="0" fontId="22" fillId="0" borderId="18" xfId="0" applyFont="1" applyBorder="1" applyAlignment="1">
      <alignment vertical="center"/>
    </xf>
    <xf numFmtId="0" fontId="23" fillId="0" borderId="15" xfId="0" applyFont="1" applyBorder="1" applyAlignment="1">
      <alignment horizontal="center" vertical="center"/>
    </xf>
    <xf numFmtId="0" fontId="14" fillId="0" borderId="15" xfId="0" applyFont="1" applyBorder="1" applyAlignment="1">
      <alignment vertical="center"/>
    </xf>
    <xf numFmtId="0" fontId="49" fillId="0" borderId="15" xfId="0" applyFont="1" applyBorder="1" applyAlignment="1">
      <alignment vertical="center"/>
    </xf>
    <xf numFmtId="173" fontId="14" fillId="0" borderId="15" xfId="42" applyNumberFormat="1" applyFont="1" applyFill="1" applyBorder="1" applyAlignment="1">
      <alignment horizontal="right" vertical="center"/>
    </xf>
    <xf numFmtId="0" fontId="49" fillId="0" borderId="11" xfId="0" applyFont="1" applyBorder="1" applyAlignment="1">
      <alignment horizontal="left" vertical="center"/>
    </xf>
    <xf numFmtId="173" fontId="8" fillId="0" borderId="11" xfId="42" applyNumberFormat="1" applyFont="1" applyBorder="1" applyAlignment="1">
      <alignment vertical="center"/>
    </xf>
    <xf numFmtId="173" fontId="8" fillId="0" borderId="11" xfId="42" applyNumberFormat="1" applyFont="1" applyFill="1" applyBorder="1" applyAlignment="1">
      <alignment vertical="center"/>
    </xf>
    <xf numFmtId="174" fontId="3" fillId="0" borderId="11" xfId="0" applyNumberFormat="1" applyFont="1" applyFill="1" applyBorder="1" applyAlignment="1">
      <alignment vertical="center"/>
    </xf>
    <xf numFmtId="174" fontId="3" fillId="0" borderId="11" xfId="0" applyNumberFormat="1" applyFont="1" applyBorder="1" applyAlignment="1">
      <alignment horizontal="right" vertical="center"/>
    </xf>
    <xf numFmtId="0" fontId="50" fillId="0" borderId="11" xfId="0" applyFont="1" applyBorder="1" applyAlignment="1">
      <alignment horizontal="left" vertical="center"/>
    </xf>
    <xf numFmtId="173" fontId="13" fillId="0" borderId="11" xfId="42" applyNumberFormat="1" applyFont="1" applyBorder="1" applyAlignment="1">
      <alignment horizontal="right" vertical="center"/>
    </xf>
    <xf numFmtId="0" fontId="56" fillId="0" borderId="11" xfId="0" applyFont="1" applyBorder="1" applyAlignment="1">
      <alignment horizontal="left" vertical="center"/>
    </xf>
    <xf numFmtId="174" fontId="11" fillId="0" borderId="11" xfId="0" applyNumberFormat="1" applyFont="1" applyBorder="1" applyAlignment="1">
      <alignment vertical="center"/>
    </xf>
    <xf numFmtId="0" fontId="57" fillId="0" borderId="11" xfId="0" applyFont="1" applyBorder="1" applyAlignment="1">
      <alignment horizontal="left" vertical="center"/>
    </xf>
    <xf numFmtId="0" fontId="57" fillId="0" borderId="11" xfId="0" applyFont="1" applyBorder="1" applyAlignment="1">
      <alignment vertical="center"/>
    </xf>
    <xf numFmtId="173" fontId="3" fillId="0" borderId="19" xfId="42" applyNumberFormat="1" applyFont="1" applyFill="1" applyBorder="1" applyAlignment="1">
      <alignment vertical="center"/>
    </xf>
    <xf numFmtId="0" fontId="57" fillId="0" borderId="11" xfId="0" applyFont="1" applyFill="1" applyBorder="1" applyAlignment="1">
      <alignment vertical="center"/>
    </xf>
    <xf numFmtId="173" fontId="5" fillId="0" borderId="15" xfId="42" applyNumberFormat="1" applyFont="1" applyFill="1" applyBorder="1" applyAlignment="1">
      <alignment vertical="center"/>
    </xf>
    <xf numFmtId="0" fontId="50" fillId="0" borderId="11" xfId="0" applyFont="1" applyFill="1" applyBorder="1" applyAlignment="1">
      <alignment vertical="center"/>
    </xf>
    <xf numFmtId="173" fontId="10" fillId="0" borderId="11" xfId="42" applyNumberFormat="1" applyFont="1" applyFill="1" applyBorder="1" applyAlignment="1">
      <alignment vertical="center"/>
    </xf>
    <xf numFmtId="0" fontId="11" fillId="0" borderId="11" xfId="0" applyFont="1" applyFill="1" applyBorder="1" applyAlignment="1">
      <alignment horizontal="left" vertical="center"/>
    </xf>
    <xf numFmtId="173" fontId="12" fillId="0" borderId="11" xfId="42" applyNumberFormat="1" applyFont="1" applyFill="1" applyBorder="1" applyAlignment="1">
      <alignment vertical="center"/>
    </xf>
    <xf numFmtId="174" fontId="11" fillId="0" borderId="11" xfId="0" applyNumberFormat="1" applyFont="1" applyFill="1" applyBorder="1" applyAlignment="1">
      <alignment vertical="center"/>
    </xf>
    <xf numFmtId="0" fontId="58" fillId="0" borderId="11" xfId="0" applyFont="1" applyFill="1" applyBorder="1" applyAlignment="1">
      <alignment horizontal="center" vertical="center"/>
    </xf>
    <xf numFmtId="0" fontId="8" fillId="0" borderId="11" xfId="0" applyFont="1" applyFill="1" applyBorder="1" applyAlignment="1">
      <alignment horizontal="left" vertical="center"/>
    </xf>
    <xf numFmtId="0" fontId="8" fillId="0" borderId="11" xfId="0" applyFont="1" applyFill="1" applyBorder="1" applyAlignment="1">
      <alignment vertical="center"/>
    </xf>
    <xf numFmtId="174" fontId="8" fillId="0" borderId="11" xfId="0" applyNumberFormat="1" applyFont="1" applyFill="1" applyBorder="1" applyAlignment="1">
      <alignment vertical="center"/>
    </xf>
    <xf numFmtId="174" fontId="8" fillId="0" borderId="11" xfId="0" applyNumberFormat="1" applyFont="1" applyFill="1" applyBorder="1" applyAlignment="1">
      <alignment horizontal="right" vertical="center"/>
    </xf>
    <xf numFmtId="0" fontId="59" fillId="0" borderId="0" xfId="0" applyFont="1" applyFill="1" applyAlignment="1">
      <alignment/>
    </xf>
    <xf numFmtId="173" fontId="59" fillId="0" borderId="0" xfId="42" applyNumberFormat="1" applyFont="1" applyFill="1" applyAlignment="1">
      <alignment/>
    </xf>
    <xf numFmtId="0" fontId="60" fillId="0" borderId="11" xfId="0" applyFont="1" applyFill="1" applyBorder="1" applyAlignment="1">
      <alignment horizontal="center" vertical="center"/>
    </xf>
    <xf numFmtId="0" fontId="12" fillId="0" borderId="11" xfId="0" applyFont="1" applyFill="1" applyBorder="1" applyAlignment="1">
      <alignment vertical="center"/>
    </xf>
    <xf numFmtId="174" fontId="12" fillId="0" borderId="11" xfId="0" applyNumberFormat="1" applyFont="1" applyFill="1" applyBorder="1" applyAlignment="1">
      <alignment vertical="center"/>
    </xf>
    <xf numFmtId="174" fontId="12" fillId="0" borderId="11" xfId="0" applyNumberFormat="1" applyFont="1" applyFill="1" applyBorder="1" applyAlignment="1">
      <alignment horizontal="right" vertical="center"/>
    </xf>
    <xf numFmtId="0" fontId="61" fillId="0" borderId="0" xfId="0" applyFont="1" applyFill="1" applyAlignment="1">
      <alignment/>
    </xf>
    <xf numFmtId="173" fontId="61" fillId="0" borderId="0" xfId="42" applyNumberFormat="1" applyFont="1" applyFill="1" applyAlignment="1">
      <alignment/>
    </xf>
    <xf numFmtId="0" fontId="12" fillId="0" borderId="11" xfId="0" applyFont="1" applyFill="1" applyBorder="1" applyAlignment="1">
      <alignment horizontal="left" vertical="center"/>
    </xf>
    <xf numFmtId="0" fontId="59" fillId="0" borderId="11" xfId="0" applyFont="1" applyFill="1" applyBorder="1" applyAlignment="1">
      <alignment horizontal="left" vertical="center"/>
    </xf>
    <xf numFmtId="175" fontId="8" fillId="0" borderId="11" xfId="0" applyNumberFormat="1" applyFont="1" applyFill="1" applyBorder="1" applyAlignment="1">
      <alignment horizontal="right" vertical="center"/>
    </xf>
    <xf numFmtId="0" fontId="8" fillId="0" borderId="11" xfId="0" applyFont="1" applyFill="1" applyBorder="1" applyAlignment="1">
      <alignment horizontal="left" vertical="center" wrapText="1"/>
    </xf>
    <xf numFmtId="0" fontId="62" fillId="0" borderId="11" xfId="0" applyFont="1" applyFill="1" applyBorder="1" applyAlignment="1">
      <alignment horizontal="left" vertical="center"/>
    </xf>
    <xf numFmtId="0" fontId="63" fillId="0" borderId="11" xfId="0" applyFont="1" applyFill="1" applyBorder="1" applyAlignment="1">
      <alignment horizontal="left" vertical="center"/>
    </xf>
    <xf numFmtId="174" fontId="10" fillId="0" borderId="11" xfId="0" applyNumberFormat="1" applyFont="1" applyFill="1" applyBorder="1" applyAlignment="1">
      <alignment vertical="center"/>
    </xf>
    <xf numFmtId="175" fontId="10" fillId="0" borderId="11" xfId="0" applyNumberFormat="1" applyFont="1" applyFill="1" applyBorder="1" applyAlignment="1">
      <alignment horizontal="right" vertical="center"/>
    </xf>
    <xf numFmtId="0" fontId="60" fillId="0" borderId="0" xfId="0" applyFont="1" applyFill="1" applyAlignment="1">
      <alignment/>
    </xf>
    <xf numFmtId="173" fontId="60" fillId="0" borderId="0" xfId="42" applyNumberFormat="1" applyFont="1" applyFill="1" applyAlignment="1">
      <alignment/>
    </xf>
    <xf numFmtId="0" fontId="62" fillId="0" borderId="11" xfId="0" applyFont="1" applyFill="1" applyBorder="1" applyAlignment="1">
      <alignment vertical="center"/>
    </xf>
    <xf numFmtId="175" fontId="10" fillId="0" borderId="11" xfId="0" applyNumberFormat="1" applyFont="1" applyFill="1" applyBorder="1" applyAlignment="1">
      <alignment vertical="center"/>
    </xf>
    <xf numFmtId="0" fontId="61" fillId="0" borderId="11" xfId="0" applyFont="1" applyFill="1" applyBorder="1" applyAlignment="1">
      <alignment horizontal="left" vertical="center"/>
    </xf>
    <xf numFmtId="175" fontId="12" fillId="0" borderId="11" xfId="0" applyNumberFormat="1" applyFont="1" applyFill="1" applyBorder="1" applyAlignment="1">
      <alignment vertical="center"/>
    </xf>
    <xf numFmtId="0" fontId="64" fillId="0" borderId="11" xfId="0" applyFont="1" applyFill="1" applyBorder="1" applyAlignment="1">
      <alignment horizontal="left" vertical="center"/>
    </xf>
    <xf numFmtId="0" fontId="10" fillId="0" borderId="11" xfId="0" applyFont="1" applyFill="1" applyBorder="1" applyAlignment="1">
      <alignment vertical="center"/>
    </xf>
    <xf numFmtId="0" fontId="65" fillId="0" borderId="11" xfId="0" applyFont="1" applyFill="1" applyBorder="1" applyAlignment="1">
      <alignment vertical="center"/>
    </xf>
    <xf numFmtId="0" fontId="58" fillId="0" borderId="0" xfId="0" applyFont="1" applyFill="1" applyAlignment="1">
      <alignment/>
    </xf>
    <xf numFmtId="173" fontId="58" fillId="0" borderId="0" xfId="42" applyNumberFormat="1" applyFont="1" applyFill="1" applyAlignment="1">
      <alignment/>
    </xf>
    <xf numFmtId="0" fontId="59" fillId="0" borderId="11" xfId="0" applyFont="1" applyFill="1" applyBorder="1" applyAlignment="1">
      <alignment horizontal="center" vertical="center"/>
    </xf>
    <xf numFmtId="0" fontId="64" fillId="0" borderId="11" xfId="0" applyFont="1" applyFill="1" applyBorder="1" applyAlignment="1">
      <alignment vertical="center"/>
    </xf>
    <xf numFmtId="0" fontId="8" fillId="0" borderId="11" xfId="0" applyFont="1" applyFill="1" applyBorder="1" applyAlignment="1">
      <alignment vertical="center" wrapText="1"/>
    </xf>
    <xf numFmtId="0" fontId="59" fillId="0" borderId="19" xfId="0" applyFont="1" applyFill="1" applyBorder="1" applyAlignment="1">
      <alignment horizontal="center" vertical="center"/>
    </xf>
    <xf numFmtId="0" fontId="8" fillId="0" borderId="19" xfId="0" applyFont="1" applyFill="1" applyBorder="1" applyAlignment="1">
      <alignment horizontal="left" vertical="center"/>
    </xf>
    <xf numFmtId="0" fontId="64" fillId="0" borderId="19" xfId="0" applyFont="1" applyFill="1" applyBorder="1" applyAlignment="1">
      <alignment vertical="center"/>
    </xf>
    <xf numFmtId="173" fontId="8" fillId="0" borderId="19" xfId="42" applyNumberFormat="1" applyFont="1" applyFill="1" applyBorder="1" applyAlignment="1">
      <alignment vertical="center"/>
    </xf>
    <xf numFmtId="174" fontId="8" fillId="0" borderId="19" xfId="0" applyNumberFormat="1" applyFont="1" applyFill="1" applyBorder="1" applyAlignment="1">
      <alignment vertical="center"/>
    </xf>
    <xf numFmtId="175" fontId="8" fillId="0" borderId="19" xfId="0" applyNumberFormat="1" applyFont="1" applyFill="1" applyBorder="1" applyAlignment="1">
      <alignment horizontal="right" vertical="center"/>
    </xf>
    <xf numFmtId="0" fontId="58" fillId="0" borderId="18" xfId="0" applyFont="1" applyFill="1" applyBorder="1" applyAlignment="1">
      <alignment horizontal="center" vertical="center"/>
    </xf>
    <xf numFmtId="0" fontId="66" fillId="0" borderId="18" xfId="0" applyFont="1" applyFill="1" applyBorder="1" applyAlignment="1">
      <alignment vertical="center"/>
    </xf>
    <xf numFmtId="0" fontId="65" fillId="0" borderId="18" xfId="0" applyFont="1" applyFill="1" applyBorder="1" applyAlignment="1">
      <alignment vertical="center"/>
    </xf>
    <xf numFmtId="173" fontId="10" fillId="0" borderId="18" xfId="42" applyNumberFormat="1" applyFont="1" applyFill="1" applyBorder="1" applyAlignment="1">
      <alignment vertical="center"/>
    </xf>
    <xf numFmtId="0" fontId="59" fillId="0" borderId="15" xfId="0" applyFont="1" applyFill="1" applyBorder="1" applyAlignment="1">
      <alignment horizontal="center" vertical="center"/>
    </xf>
    <xf numFmtId="0" fontId="8" fillId="0" borderId="15" xfId="0" applyFont="1" applyFill="1" applyBorder="1" applyAlignment="1">
      <alignment vertical="center"/>
    </xf>
    <xf numFmtId="173" fontId="8" fillId="0" borderId="15" xfId="42" applyNumberFormat="1" applyFont="1" applyFill="1" applyBorder="1" applyAlignment="1">
      <alignment vertical="center"/>
    </xf>
    <xf numFmtId="174" fontId="8" fillId="0" borderId="15" xfId="0" applyNumberFormat="1" applyFont="1" applyFill="1" applyBorder="1" applyAlignment="1">
      <alignment vertical="center"/>
    </xf>
    <xf numFmtId="175" fontId="8" fillId="0" borderId="15" xfId="0" applyNumberFormat="1" applyFont="1" applyFill="1" applyBorder="1" applyAlignment="1">
      <alignment horizontal="right" vertical="center"/>
    </xf>
    <xf numFmtId="0" fontId="8" fillId="0" borderId="19" xfId="0" applyFont="1" applyFill="1" applyBorder="1" applyAlignment="1">
      <alignment vertical="center"/>
    </xf>
    <xf numFmtId="0" fontId="67" fillId="0" borderId="18" xfId="0" applyFont="1" applyFill="1" applyBorder="1" applyAlignment="1">
      <alignment horizontal="center" vertical="center"/>
    </xf>
    <xf numFmtId="0" fontId="10" fillId="0" borderId="18" xfId="0" applyFont="1" applyFill="1" applyBorder="1" applyAlignment="1">
      <alignment vertical="center"/>
    </xf>
    <xf numFmtId="0" fontId="58" fillId="0" borderId="15" xfId="0" applyFont="1" applyFill="1" applyBorder="1" applyAlignment="1">
      <alignment horizontal="center" vertical="center"/>
    </xf>
    <xf numFmtId="0" fontId="10" fillId="0" borderId="15" xfId="0" applyFont="1" applyFill="1" applyBorder="1" applyAlignment="1">
      <alignment vertical="center"/>
    </xf>
    <xf numFmtId="173" fontId="10" fillId="0" borderId="15" xfId="42" applyNumberFormat="1" applyFont="1" applyFill="1" applyBorder="1" applyAlignment="1">
      <alignment vertical="center"/>
    </xf>
    <xf numFmtId="175" fontId="8" fillId="0" borderId="11" xfId="0" applyNumberFormat="1" applyFont="1" applyFill="1" applyBorder="1" applyAlignment="1">
      <alignment vertical="center"/>
    </xf>
    <xf numFmtId="175" fontId="8" fillId="0" borderId="19" xfId="0" applyNumberFormat="1" applyFont="1" applyFill="1" applyBorder="1" applyAlignment="1">
      <alignment vertical="center"/>
    </xf>
    <xf numFmtId="0" fontId="68" fillId="0" borderId="18" xfId="0" applyFont="1" applyFill="1" applyBorder="1" applyAlignment="1">
      <alignment horizontal="center" vertical="center"/>
    </xf>
    <xf numFmtId="0" fontId="69" fillId="0" borderId="18" xfId="0" applyFont="1" applyFill="1" applyBorder="1" applyAlignment="1">
      <alignment vertical="center"/>
    </xf>
    <xf numFmtId="173" fontId="69" fillId="0" borderId="18" xfId="42" applyNumberFormat="1" applyFont="1" applyFill="1" applyBorder="1" applyAlignment="1">
      <alignment vertical="center"/>
    </xf>
    <xf numFmtId="174" fontId="69" fillId="0" borderId="18" xfId="0" applyNumberFormat="1" applyFont="1" applyFill="1" applyBorder="1" applyAlignment="1">
      <alignment vertical="center"/>
    </xf>
    <xf numFmtId="175" fontId="10" fillId="0" borderId="18" xfId="0" applyNumberFormat="1" applyFont="1" applyFill="1" applyBorder="1" applyAlignment="1">
      <alignment horizontal="right" vertical="center"/>
    </xf>
    <xf numFmtId="0" fontId="59" fillId="0" borderId="18" xfId="0" applyFont="1" applyFill="1" applyBorder="1" applyAlignment="1">
      <alignment horizontal="center" vertical="center"/>
    </xf>
    <xf numFmtId="0" fontId="8" fillId="0" borderId="18" xfId="0" applyFont="1" applyFill="1" applyBorder="1" applyAlignment="1">
      <alignment vertical="center" wrapText="1"/>
    </xf>
    <xf numFmtId="0" fontId="8" fillId="0" borderId="18" xfId="0" applyFont="1" applyFill="1" applyBorder="1" applyAlignment="1">
      <alignment vertical="center"/>
    </xf>
    <xf numFmtId="173" fontId="8" fillId="0" borderId="18" xfId="42" applyNumberFormat="1" applyFont="1" applyFill="1" applyBorder="1" applyAlignment="1">
      <alignment vertical="center"/>
    </xf>
    <xf numFmtId="174" fontId="8" fillId="0" borderId="18" xfId="0" applyNumberFormat="1" applyFont="1" applyFill="1" applyBorder="1" applyAlignment="1">
      <alignment vertical="center"/>
    </xf>
    <xf numFmtId="175" fontId="8" fillId="0" borderId="18" xfId="0" applyNumberFormat="1" applyFont="1" applyFill="1" applyBorder="1" applyAlignment="1">
      <alignment horizontal="right" vertical="center"/>
    </xf>
    <xf numFmtId="0" fontId="17" fillId="0" borderId="18" xfId="0" applyFont="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vertical="center"/>
    </xf>
    <xf numFmtId="173" fontId="3" fillId="0" borderId="18" xfId="42" applyNumberFormat="1" applyFont="1" applyBorder="1" applyAlignment="1">
      <alignment vertical="center"/>
    </xf>
    <xf numFmtId="174" fontId="3" fillId="0" borderId="18" xfId="0" applyNumberFormat="1" applyFont="1" applyBorder="1" applyAlignment="1">
      <alignment vertical="center"/>
    </xf>
    <xf numFmtId="175" fontId="3" fillId="0" borderId="18" xfId="0" applyNumberFormat="1" applyFont="1" applyBorder="1" applyAlignment="1">
      <alignment horizontal="right" vertical="center"/>
    </xf>
    <xf numFmtId="0" fontId="17" fillId="0" borderId="10" xfId="0" applyFont="1" applyBorder="1" applyAlignment="1">
      <alignment horizontal="center" vertical="center"/>
    </xf>
    <xf numFmtId="0" fontId="3" fillId="0" borderId="10" xfId="0" applyFont="1" applyBorder="1" applyAlignment="1">
      <alignment vertical="center" wrapText="1"/>
    </xf>
    <xf numFmtId="0" fontId="3" fillId="0" borderId="10" xfId="0" applyFont="1" applyBorder="1" applyAlignment="1">
      <alignment vertical="center"/>
    </xf>
    <xf numFmtId="173" fontId="3" fillId="0" borderId="10" xfId="42" applyNumberFormat="1" applyFont="1" applyBorder="1" applyAlignment="1">
      <alignment vertical="center"/>
    </xf>
    <xf numFmtId="174" fontId="3" fillId="0" borderId="10" xfId="0" applyNumberFormat="1" applyFont="1" applyBorder="1" applyAlignment="1">
      <alignment vertical="center"/>
    </xf>
    <xf numFmtId="175" fontId="3" fillId="0" borderId="10" xfId="0" applyNumberFormat="1" applyFont="1" applyBorder="1" applyAlignment="1">
      <alignment horizontal="right" vertical="center"/>
    </xf>
    <xf numFmtId="0" fontId="59" fillId="0" borderId="11" xfId="0" applyFont="1" applyBorder="1" applyAlignment="1">
      <alignment horizontal="center" vertical="center"/>
    </xf>
    <xf numFmtId="0" fontId="8" fillId="0" borderId="11" xfId="0" applyFont="1" applyBorder="1" applyAlignment="1">
      <alignment vertical="center" wrapText="1"/>
    </xf>
    <xf numFmtId="0" fontId="8" fillId="0" borderId="11" xfId="0" applyFont="1" applyBorder="1" applyAlignment="1">
      <alignment vertical="center"/>
    </xf>
    <xf numFmtId="174" fontId="8" fillId="0" borderId="11" xfId="0" applyNumberFormat="1" applyFont="1" applyBorder="1" applyAlignment="1">
      <alignment vertical="center"/>
    </xf>
    <xf numFmtId="175" fontId="8" fillId="0" borderId="11" xfId="0" applyNumberFormat="1" applyFont="1" applyBorder="1" applyAlignment="1">
      <alignment horizontal="right" vertical="center"/>
    </xf>
    <xf numFmtId="0" fontId="59" fillId="0" borderId="0" xfId="0" applyFont="1" applyAlignment="1">
      <alignment/>
    </xf>
    <xf numFmtId="173" fontId="59" fillId="0" borderId="0" xfId="42" applyNumberFormat="1" applyFont="1" applyAlignment="1">
      <alignment/>
    </xf>
    <xf numFmtId="0" fontId="18" fillId="0" borderId="12" xfId="0" applyFont="1" applyBorder="1" applyAlignment="1">
      <alignment horizontal="center" vertical="center"/>
    </xf>
    <xf numFmtId="0" fontId="3" fillId="0" borderId="12" xfId="0" applyFont="1" applyFill="1" applyBorder="1" applyAlignment="1">
      <alignment vertical="center"/>
    </xf>
    <xf numFmtId="0" fontId="50" fillId="0" borderId="12" xfId="0" applyFont="1" applyFill="1" applyBorder="1" applyAlignment="1">
      <alignment vertical="center"/>
    </xf>
    <xf numFmtId="173" fontId="3" fillId="0" borderId="12" xfId="42" applyNumberFormat="1" applyFont="1" applyBorder="1" applyAlignment="1">
      <alignment vertical="center"/>
    </xf>
    <xf numFmtId="174" fontId="3" fillId="0" borderId="12" xfId="0" applyNumberFormat="1" applyFont="1" applyBorder="1" applyAlignment="1">
      <alignment vertical="center"/>
    </xf>
    <xf numFmtId="175" fontId="3" fillId="0" borderId="12" xfId="0" applyNumberFormat="1" applyFont="1" applyBorder="1" applyAlignment="1">
      <alignment vertical="center"/>
    </xf>
    <xf numFmtId="0" fontId="70" fillId="0" borderId="0" xfId="0" applyFont="1" applyFill="1" applyBorder="1" applyAlignment="1">
      <alignment vertical="center"/>
    </xf>
    <xf numFmtId="174" fontId="25" fillId="0" borderId="0" xfId="0" applyNumberFormat="1" applyFont="1" applyAlignment="1">
      <alignment vertical="center"/>
    </xf>
    <xf numFmtId="174" fontId="21" fillId="0" borderId="0" xfId="0" applyNumberFormat="1" applyFont="1" applyAlignment="1">
      <alignment vertical="center"/>
    </xf>
    <xf numFmtId="173" fontId="5" fillId="0" borderId="0" xfId="42" applyNumberFormat="1" applyFont="1" applyBorder="1" applyAlignment="1">
      <alignment vertical="center"/>
    </xf>
    <xf numFmtId="174" fontId="30" fillId="0" borderId="0" xfId="0" applyNumberFormat="1" applyFont="1" applyBorder="1" applyAlignment="1">
      <alignment vertical="center"/>
    </xf>
    <xf numFmtId="0" fontId="70" fillId="0" borderId="0" xfId="0" applyFont="1" applyBorder="1" applyAlignment="1">
      <alignment horizontal="left" vertical="center"/>
    </xf>
    <xf numFmtId="0" fontId="70" fillId="0" borderId="0" xfId="0" applyFont="1" applyAlignment="1">
      <alignment/>
    </xf>
    <xf numFmtId="174" fontId="0" fillId="0" borderId="0" xfId="0" applyNumberFormat="1" applyAlignment="1">
      <alignment/>
    </xf>
    <xf numFmtId="3" fontId="52" fillId="0" borderId="0" xfId="0" applyNumberFormat="1" applyFont="1" applyAlignment="1">
      <alignment horizontal="left" vertical="center" wrapText="1"/>
    </xf>
    <xf numFmtId="0" fontId="2" fillId="0" borderId="0" xfId="0" applyFont="1" applyAlignment="1">
      <alignment horizontal="center"/>
    </xf>
    <xf numFmtId="0" fontId="10" fillId="0" borderId="0" xfId="55" applyFont="1" applyAlignment="1">
      <alignment horizontal="center"/>
      <protection/>
    </xf>
    <xf numFmtId="0" fontId="12" fillId="0" borderId="0" xfId="55" applyFont="1" applyAlignment="1">
      <alignment horizontal="center"/>
      <protection/>
    </xf>
    <xf numFmtId="0" fontId="2" fillId="0" borderId="0" xfId="55" applyFont="1" applyAlignment="1">
      <alignment horizontal="center"/>
      <protection/>
    </xf>
    <xf numFmtId="0" fontId="5" fillId="0" borderId="0" xfId="55" applyFont="1" applyAlignment="1">
      <alignment horizontal="center" wrapText="1"/>
      <protection/>
    </xf>
    <xf numFmtId="0" fontId="5" fillId="0" borderId="0" xfId="55" applyFont="1" applyAlignment="1">
      <alignment horizontal="center"/>
      <protection/>
    </xf>
    <xf numFmtId="0" fontId="11" fillId="0" borderId="0" xfId="55" applyFont="1" applyAlignment="1">
      <alignment horizontal="right"/>
      <protection/>
    </xf>
    <xf numFmtId="173" fontId="5" fillId="0" borderId="13" xfId="42" applyNumberFormat="1" applyFont="1" applyBorder="1" applyAlignment="1">
      <alignment horizontal="center" vertical="center" wrapText="1"/>
    </xf>
    <xf numFmtId="173" fontId="5" fillId="0" borderId="20" xfId="42" applyNumberFormat="1" applyFont="1" applyBorder="1" applyAlignment="1">
      <alignment horizontal="center" vertical="center" wrapText="1"/>
    </xf>
    <xf numFmtId="1" fontId="5" fillId="0" borderId="16"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1" fontId="5" fillId="0" borderId="17" xfId="0" applyNumberFormat="1" applyFont="1" applyBorder="1" applyAlignment="1">
      <alignment horizontal="center" vertical="center" wrapText="1"/>
    </xf>
    <xf numFmtId="1" fontId="5" fillId="0" borderId="13" xfId="0" applyNumberFormat="1" applyFont="1" applyBorder="1" applyAlignment="1">
      <alignment horizontal="center" vertical="center" wrapText="1"/>
    </xf>
    <xf numFmtId="1" fontId="5" fillId="0" borderId="20"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15" fillId="0" borderId="20" xfId="0" applyFont="1" applyBorder="1" applyAlignment="1">
      <alignment horizontal="center" vertical="center" wrapText="1"/>
    </xf>
    <xf numFmtId="3" fontId="51" fillId="0" borderId="0" xfId="0" applyNumberFormat="1" applyFont="1" applyAlignment="1">
      <alignment horizontal="left" vertical="center" wrapText="1"/>
    </xf>
    <xf numFmtId="0" fontId="15" fillId="0" borderId="13" xfId="0" applyFont="1" applyBorder="1" applyAlignment="1">
      <alignment horizontal="center" vertical="center"/>
    </xf>
    <xf numFmtId="0" fontId="15" fillId="0" borderId="20"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3" fillId="0" borderId="13" xfId="0" applyFont="1" applyBorder="1" applyAlignment="1">
      <alignment horizontal="center" vertical="center"/>
    </xf>
    <xf numFmtId="0" fontId="53" fillId="0" borderId="20" xfId="0" applyFont="1" applyBorder="1" applyAlignment="1">
      <alignment horizontal="center" vertical="center"/>
    </xf>
    <xf numFmtId="173" fontId="15" fillId="0" borderId="20" xfId="42"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3. Bieu 20-24"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F26"/>
  <sheetViews>
    <sheetView zoomScalePageLayoutView="0" workbookViewId="0" topLeftCell="A10">
      <selection activeCell="B27" sqref="B27"/>
    </sheetView>
  </sheetViews>
  <sheetFormatPr defaultColWidth="8.66015625" defaultRowHeight="18"/>
  <cols>
    <col min="1" max="1" width="3.91015625" style="47" customWidth="1"/>
    <col min="2" max="2" width="34.16015625" style="35" customWidth="1"/>
    <col min="3" max="3" width="12.08203125" style="35" customWidth="1"/>
    <col min="4" max="4" width="13.91015625" style="53" customWidth="1"/>
    <col min="5" max="16384" width="8.83203125" style="35" customWidth="1"/>
  </cols>
  <sheetData>
    <row r="1" spans="1:4" s="32" customFormat="1" ht="15.75">
      <c r="A1" s="32" t="s">
        <v>52</v>
      </c>
      <c r="C1" s="33" t="s">
        <v>53</v>
      </c>
      <c r="D1" s="51"/>
    </row>
    <row r="2" spans="1:4" s="32" customFormat="1" ht="15.75">
      <c r="A2" s="33" t="s">
        <v>54</v>
      </c>
      <c r="D2" s="52"/>
    </row>
    <row r="3" ht="12" customHeight="1">
      <c r="A3" s="34"/>
    </row>
    <row r="4" spans="1:4" ht="18.75">
      <c r="A4" s="381" t="s">
        <v>55</v>
      </c>
      <c r="B4" s="381"/>
      <c r="C4" s="381"/>
      <c r="D4" s="381"/>
    </row>
    <row r="5" spans="1:4" ht="29.25" customHeight="1">
      <c r="A5" s="382" t="s">
        <v>255</v>
      </c>
      <c r="B5" s="383"/>
      <c r="C5" s="383"/>
      <c r="D5" s="383"/>
    </row>
    <row r="6" spans="1:4" ht="11.25" customHeight="1">
      <c r="A6" s="384"/>
      <c r="B6" s="384"/>
      <c r="C6" s="384"/>
      <c r="D6" s="384"/>
    </row>
    <row r="7" spans="1:4" s="38" customFormat="1" ht="15" customHeight="1">
      <c r="A7" s="36" t="s">
        <v>56</v>
      </c>
      <c r="B7" s="37" t="s">
        <v>57</v>
      </c>
      <c r="C7" s="37" t="s">
        <v>58</v>
      </c>
      <c r="D7" s="54" t="s">
        <v>59</v>
      </c>
    </row>
    <row r="8" spans="1:4" ht="31.5">
      <c r="A8" s="36" t="s">
        <v>60</v>
      </c>
      <c r="B8" s="39" t="s">
        <v>253</v>
      </c>
      <c r="C8" s="40" t="s">
        <v>61</v>
      </c>
      <c r="D8" s="55"/>
    </row>
    <row r="9" spans="1:4" ht="21" customHeight="1">
      <c r="A9" s="41">
        <v>1</v>
      </c>
      <c r="B9" s="42" t="s">
        <v>62</v>
      </c>
      <c r="C9" s="40" t="s">
        <v>61</v>
      </c>
      <c r="D9" s="180">
        <v>15.2</v>
      </c>
    </row>
    <row r="10" spans="1:4" ht="21" customHeight="1">
      <c r="A10" s="41">
        <v>2</v>
      </c>
      <c r="B10" s="42" t="s">
        <v>63</v>
      </c>
      <c r="C10" s="40" t="s">
        <v>61</v>
      </c>
      <c r="D10" s="180">
        <v>9.1</v>
      </c>
    </row>
    <row r="11" spans="1:4" ht="21" customHeight="1">
      <c r="A11" s="41">
        <v>3</v>
      </c>
      <c r="B11" s="42" t="s">
        <v>64</v>
      </c>
      <c r="C11" s="40" t="s">
        <v>61</v>
      </c>
      <c r="D11" s="180">
        <v>5.9</v>
      </c>
    </row>
    <row r="12" spans="1:4" ht="31.5">
      <c r="A12" s="36" t="s">
        <v>60</v>
      </c>
      <c r="B12" s="39" t="s">
        <v>254</v>
      </c>
      <c r="C12" s="40" t="s">
        <v>61</v>
      </c>
      <c r="D12" s="57"/>
    </row>
    <row r="13" spans="1:4" ht="24" customHeight="1">
      <c r="A13" s="41">
        <v>1</v>
      </c>
      <c r="B13" s="42" t="s">
        <v>62</v>
      </c>
      <c r="C13" s="40" t="s">
        <v>61</v>
      </c>
      <c r="D13" s="56"/>
    </row>
    <row r="14" spans="1:4" ht="24" customHeight="1">
      <c r="A14" s="41">
        <v>2</v>
      </c>
      <c r="B14" s="42" t="s">
        <v>63</v>
      </c>
      <c r="C14" s="40" t="s">
        <v>61</v>
      </c>
      <c r="D14" s="56"/>
    </row>
    <row r="15" spans="1:4" ht="24" customHeight="1">
      <c r="A15" s="41">
        <v>3</v>
      </c>
      <c r="B15" s="42" t="s">
        <v>64</v>
      </c>
      <c r="C15" s="40" t="s">
        <v>61</v>
      </c>
      <c r="D15" s="56"/>
    </row>
    <row r="16" spans="1:4" ht="31.5">
      <c r="A16" s="36" t="s">
        <v>65</v>
      </c>
      <c r="B16" s="39" t="s">
        <v>256</v>
      </c>
      <c r="C16" s="40" t="s">
        <v>61</v>
      </c>
      <c r="D16" s="57"/>
    </row>
    <row r="17" spans="1:4" ht="23.25" customHeight="1">
      <c r="A17" s="41">
        <v>1</v>
      </c>
      <c r="B17" s="42" t="s">
        <v>64</v>
      </c>
      <c r="C17" s="40" t="s">
        <v>61</v>
      </c>
      <c r="D17" s="180">
        <v>8.5</v>
      </c>
    </row>
    <row r="18" spans="1:4" ht="23.25" customHeight="1">
      <c r="A18" s="41">
        <v>2</v>
      </c>
      <c r="B18" s="42" t="s">
        <v>66</v>
      </c>
      <c r="C18" s="40" t="s">
        <v>61</v>
      </c>
      <c r="D18" s="56"/>
    </row>
    <row r="19" spans="1:4" ht="15.75">
      <c r="A19" s="43" t="s">
        <v>67</v>
      </c>
      <c r="B19" s="44" t="s">
        <v>257</v>
      </c>
      <c r="C19" s="41" t="s">
        <v>68</v>
      </c>
      <c r="D19" s="58"/>
    </row>
    <row r="20" spans="1:4" ht="26.25" customHeight="1">
      <c r="A20" s="46">
        <v>1</v>
      </c>
      <c r="B20" s="45" t="s">
        <v>69</v>
      </c>
      <c r="C20" s="41" t="s">
        <v>68</v>
      </c>
      <c r="D20" s="58">
        <v>101</v>
      </c>
    </row>
    <row r="21" spans="1:4" ht="26.25" customHeight="1">
      <c r="A21" s="46">
        <v>2</v>
      </c>
      <c r="B21" s="45" t="s">
        <v>70</v>
      </c>
      <c r="C21" s="41" t="s">
        <v>68</v>
      </c>
      <c r="D21" s="58">
        <v>37</v>
      </c>
    </row>
    <row r="22" spans="1:4" ht="26.25" customHeight="1">
      <c r="A22" s="46">
        <v>3</v>
      </c>
      <c r="B22" s="45" t="s">
        <v>71</v>
      </c>
      <c r="C22" s="41" t="s">
        <v>68</v>
      </c>
      <c r="D22" s="58"/>
    </row>
    <row r="23" spans="1:4" ht="26.25" customHeight="1">
      <c r="A23" s="46">
        <v>4</v>
      </c>
      <c r="B23" s="45" t="s">
        <v>72</v>
      </c>
      <c r="C23" s="41" t="s">
        <v>68</v>
      </c>
      <c r="D23" s="58">
        <v>47</v>
      </c>
    </row>
    <row r="24" spans="3:6" ht="15.75">
      <c r="C24" s="380"/>
      <c r="D24" s="380"/>
      <c r="E24" s="48"/>
      <c r="F24" s="48"/>
    </row>
    <row r="25" spans="2:6" ht="15.75">
      <c r="B25" s="38"/>
      <c r="C25" s="379"/>
      <c r="D25" s="379"/>
      <c r="E25" s="49"/>
      <c r="F25" s="49"/>
    </row>
    <row r="26" spans="2:6" ht="15.75">
      <c r="B26" s="50"/>
      <c r="C26" s="380"/>
      <c r="D26" s="380"/>
      <c r="E26" s="49"/>
      <c r="F26" s="49"/>
    </row>
  </sheetData>
  <sheetProtection/>
  <mergeCells count="6">
    <mergeCell ref="C25:D25"/>
    <mergeCell ref="C26:D26"/>
    <mergeCell ref="A4:D4"/>
    <mergeCell ref="A5:D5"/>
    <mergeCell ref="A6:D6"/>
    <mergeCell ref="C24:D2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61"/>
  <sheetViews>
    <sheetView tabSelected="1" zoomScalePageLayoutView="0" workbookViewId="0" topLeftCell="A10">
      <selection activeCell="B15" sqref="B15"/>
    </sheetView>
  </sheetViews>
  <sheetFormatPr defaultColWidth="8.66015625" defaultRowHeight="18"/>
  <cols>
    <col min="1" max="1" width="5.58203125" style="1" customWidth="1"/>
    <col min="2" max="2" width="36.91015625" style="1" customWidth="1"/>
    <col min="3" max="3" width="12.58203125" style="59" customWidth="1"/>
    <col min="4" max="4" width="9.33203125" style="170" customWidth="1"/>
    <col min="5" max="5" width="16.33203125" style="2" customWidth="1"/>
    <col min="6" max="6" width="15.33203125" style="1" customWidth="1"/>
    <col min="7" max="16384" width="8.66015625" style="1" customWidth="1"/>
  </cols>
  <sheetData>
    <row r="1" spans="2:5" s="4" customFormat="1" ht="18.75">
      <c r="B1" s="3"/>
      <c r="C1" s="60"/>
      <c r="D1" s="171"/>
      <c r="E1" s="5"/>
    </row>
    <row r="2" spans="2:5" s="4" customFormat="1" ht="18.75">
      <c r="B2" s="378" t="s">
        <v>343</v>
      </c>
      <c r="C2" s="378"/>
      <c r="D2" s="378"/>
      <c r="E2" s="378"/>
    </row>
    <row r="3" spans="2:5" s="4" customFormat="1" ht="18.75">
      <c r="B3" s="26"/>
      <c r="C3" s="26"/>
      <c r="D3" s="26"/>
      <c r="E3" s="26"/>
    </row>
    <row r="4" spans="2:5" s="4" customFormat="1" ht="27" customHeight="1">
      <c r="B4" s="22" t="s">
        <v>73</v>
      </c>
      <c r="C4" s="61"/>
      <c r="D4" s="172"/>
      <c r="E4" s="27"/>
    </row>
    <row r="5" spans="2:5" s="6" customFormat="1" ht="21.75" customHeight="1">
      <c r="B5" s="28" t="s">
        <v>0</v>
      </c>
      <c r="C5" s="31" t="s">
        <v>15</v>
      </c>
      <c r="D5" s="173" t="s">
        <v>16</v>
      </c>
      <c r="E5" s="13" t="s">
        <v>28</v>
      </c>
    </row>
    <row r="6" spans="2:5" s="6" customFormat="1" ht="21.75" customHeight="1">
      <c r="B6" s="8" t="s">
        <v>1</v>
      </c>
      <c r="C6" s="9"/>
      <c r="D6" s="13"/>
      <c r="E6" s="10"/>
    </row>
    <row r="7" spans="2:5" s="4" customFormat="1" ht="21.75" customHeight="1">
      <c r="B7" s="8" t="s">
        <v>2</v>
      </c>
      <c r="C7" s="9" t="s">
        <v>243</v>
      </c>
      <c r="D7" s="173">
        <v>3124</v>
      </c>
      <c r="E7" s="10">
        <f>0.8*590000*D7*10</f>
        <v>14745280000</v>
      </c>
    </row>
    <row r="8" spans="2:5" s="4" customFormat="1" ht="21.75" customHeight="1">
      <c r="B8" s="8" t="s">
        <v>3</v>
      </c>
      <c r="C8" s="9"/>
      <c r="D8" s="173">
        <f>97+15</f>
        <v>112</v>
      </c>
      <c r="E8" s="10"/>
    </row>
    <row r="9" spans="2:5" s="4" customFormat="1" ht="21.75" customHeight="1">
      <c r="B9" s="8" t="s">
        <v>4</v>
      </c>
      <c r="C9" s="9"/>
      <c r="D9" s="13">
        <f>12+1</f>
        <v>13</v>
      </c>
      <c r="E9" s="23"/>
    </row>
    <row r="10" spans="2:5" s="4" customFormat="1" ht="21.75" customHeight="1">
      <c r="B10" s="8" t="s">
        <v>21</v>
      </c>
      <c r="C10" s="9"/>
      <c r="D10" s="173">
        <v>1240</v>
      </c>
      <c r="E10" s="10"/>
    </row>
    <row r="11" spans="2:5" s="4" customFormat="1" ht="21.75" customHeight="1">
      <c r="B11" s="8" t="s">
        <v>5</v>
      </c>
      <c r="C11" s="9"/>
      <c r="D11" s="13"/>
      <c r="E11" s="10"/>
    </row>
    <row r="12" spans="2:5" s="4" customFormat="1" ht="21.75" customHeight="1">
      <c r="B12" s="8" t="s">
        <v>6</v>
      </c>
      <c r="C12" s="9" t="s">
        <v>244</v>
      </c>
      <c r="D12" s="173">
        <v>1047</v>
      </c>
      <c r="E12" s="10">
        <f>300000*D12*10</f>
        <v>3141000000</v>
      </c>
    </row>
    <row r="13" spans="2:5" s="4" customFormat="1" ht="21.75" customHeight="1">
      <c r="B13" s="8" t="s">
        <v>32</v>
      </c>
      <c r="C13" s="9" t="s">
        <v>47</v>
      </c>
      <c r="D13" s="173">
        <v>401</v>
      </c>
      <c r="E13" s="10">
        <f>1050000*10*D13</f>
        <v>4210500000</v>
      </c>
    </row>
    <row r="14" spans="2:5" s="4" customFormat="1" ht="21.75" customHeight="1">
      <c r="B14" s="8"/>
      <c r="C14" s="9"/>
      <c r="D14" s="173"/>
      <c r="E14" s="10"/>
    </row>
    <row r="15" spans="2:5" s="4" customFormat="1" ht="21.75" customHeight="1">
      <c r="B15" s="8" t="s">
        <v>7</v>
      </c>
      <c r="C15" s="9"/>
      <c r="D15" s="13"/>
      <c r="E15" s="10">
        <f>120000*D15*10</f>
        <v>0</v>
      </c>
    </row>
    <row r="16" spans="2:5" s="4" customFormat="1" ht="21.75" customHeight="1">
      <c r="B16" s="8" t="s">
        <v>18</v>
      </c>
      <c r="C16" s="9" t="s">
        <v>245</v>
      </c>
      <c r="D16" s="13">
        <v>260</v>
      </c>
      <c r="E16" s="10">
        <f>915000*D16*10</f>
        <v>2379000000</v>
      </c>
    </row>
    <row r="17" spans="2:5" s="4" customFormat="1" ht="21.75" customHeight="1">
      <c r="B17" s="8" t="s">
        <v>19</v>
      </c>
      <c r="C17" s="9" t="s">
        <v>246</v>
      </c>
      <c r="D17" s="13">
        <v>30</v>
      </c>
      <c r="E17" s="10">
        <f>1525000*D17*10</f>
        <v>457500000</v>
      </c>
    </row>
    <row r="18" spans="2:5" s="4" customFormat="1" ht="21.75" customHeight="1">
      <c r="B18" s="8" t="s">
        <v>8</v>
      </c>
      <c r="C18" s="9"/>
      <c r="D18" s="13"/>
      <c r="E18" s="10"/>
    </row>
    <row r="19" spans="2:8" s="4" customFormat="1" ht="21.75" customHeight="1">
      <c r="B19" s="8" t="s">
        <v>2</v>
      </c>
      <c r="C19" s="9" t="s">
        <v>247</v>
      </c>
      <c r="D19" s="173">
        <v>1235</v>
      </c>
      <c r="E19" s="10">
        <f>250000*D19*33</f>
        <v>10188750000</v>
      </c>
      <c r="H19" s="4" t="s">
        <v>33</v>
      </c>
    </row>
    <row r="20" spans="2:5" s="4" customFormat="1" ht="21.75" customHeight="1">
      <c r="B20" s="8" t="s">
        <v>9</v>
      </c>
      <c r="C20" s="9"/>
      <c r="D20" s="13"/>
      <c r="E20" s="10"/>
    </row>
    <row r="21" spans="2:5" s="4" customFormat="1" ht="21.75" customHeight="1">
      <c r="B21" s="8" t="s">
        <v>2</v>
      </c>
      <c r="C21" s="9"/>
      <c r="D21" s="13"/>
      <c r="E21" s="10">
        <f>130000*D21*32</f>
        <v>0</v>
      </c>
    </row>
    <row r="22" spans="2:5" s="4" customFormat="1" ht="21.75" customHeight="1">
      <c r="B22" s="8" t="s">
        <v>10</v>
      </c>
      <c r="C22" s="9"/>
      <c r="D22" s="13"/>
      <c r="E22" s="10"/>
    </row>
    <row r="23" spans="2:5" s="4" customFormat="1" ht="21.75" customHeight="1">
      <c r="B23" s="8" t="s">
        <v>2</v>
      </c>
      <c r="C23" s="9"/>
      <c r="D23" s="13"/>
      <c r="E23" s="10">
        <f>1500000*D23</f>
        <v>0</v>
      </c>
    </row>
    <row r="24" spans="2:5" s="4" customFormat="1" ht="21.75" customHeight="1">
      <c r="B24" s="8" t="s">
        <v>258</v>
      </c>
      <c r="C24" s="9" t="s">
        <v>248</v>
      </c>
      <c r="D24" s="13">
        <v>1250</v>
      </c>
      <c r="E24" s="10">
        <f>280000*10*D24</f>
        <v>3500000000</v>
      </c>
    </row>
    <row r="25" spans="2:5" s="4" customFormat="1" ht="21.75" customHeight="1">
      <c r="B25" s="8" t="s">
        <v>259</v>
      </c>
      <c r="C25" s="9"/>
      <c r="D25" s="13"/>
      <c r="E25" s="10">
        <f>225000*20*D25*80%</f>
        <v>0</v>
      </c>
    </row>
    <row r="26" spans="2:5" s="4" customFormat="1" ht="21.75" customHeight="1">
      <c r="B26" s="8" t="s">
        <v>39</v>
      </c>
      <c r="C26" s="9" t="s">
        <v>250</v>
      </c>
      <c r="D26" s="13">
        <v>105</v>
      </c>
      <c r="E26" s="10">
        <f>27000000*D26*0.8</f>
        <v>2268000000</v>
      </c>
    </row>
    <row r="27" spans="2:5" s="4" customFormat="1" ht="21.75" customHeight="1">
      <c r="B27" s="8" t="s">
        <v>40</v>
      </c>
      <c r="C27" s="9" t="s">
        <v>251</v>
      </c>
      <c r="D27" s="13">
        <v>14</v>
      </c>
      <c r="E27" s="10">
        <f>27000000*D27</f>
        <v>378000000</v>
      </c>
    </row>
    <row r="28" spans="2:5" s="4" customFormat="1" ht="21.75" customHeight="1">
      <c r="B28" s="8" t="s">
        <v>48</v>
      </c>
      <c r="C28" s="9" t="s">
        <v>49</v>
      </c>
      <c r="D28" s="13">
        <v>14</v>
      </c>
      <c r="E28" s="10">
        <f>31800000*D28</f>
        <v>445200000</v>
      </c>
    </row>
    <row r="29" spans="2:5" s="4" customFormat="1" ht="21.75" customHeight="1">
      <c r="B29" s="8" t="s">
        <v>42</v>
      </c>
      <c r="C29" s="9" t="s">
        <v>249</v>
      </c>
      <c r="D29" s="13">
        <v>184</v>
      </c>
      <c r="E29" s="10">
        <f>45150000*D29*0.7</f>
        <v>5815320000</v>
      </c>
    </row>
    <row r="30" spans="2:5" s="4" customFormat="1" ht="21.75" customHeight="1">
      <c r="B30" s="8" t="s">
        <v>260</v>
      </c>
      <c r="C30" s="9"/>
      <c r="D30" s="13"/>
      <c r="E30" s="10"/>
    </row>
    <row r="31" spans="1:5" s="4" customFormat="1" ht="21.75" customHeight="1">
      <c r="A31" s="4" t="s">
        <v>29</v>
      </c>
      <c r="B31" s="8" t="s">
        <v>30</v>
      </c>
      <c r="C31" s="9" t="s">
        <v>50</v>
      </c>
      <c r="D31" s="13">
        <v>34</v>
      </c>
      <c r="E31" s="10">
        <f>1974*21000*D31*30%</f>
        <v>422830800</v>
      </c>
    </row>
    <row r="32" spans="2:5" s="4" customFormat="1" ht="21.75" customHeight="1">
      <c r="B32" s="8"/>
      <c r="C32" s="9"/>
      <c r="D32" s="13"/>
      <c r="E32" s="10">
        <f>9450000*D32*70%</f>
        <v>0</v>
      </c>
    </row>
    <row r="33" spans="2:5" s="4" customFormat="1" ht="21.75" customHeight="1">
      <c r="B33" s="8" t="s">
        <v>261</v>
      </c>
      <c r="C33" s="62" t="s">
        <v>51</v>
      </c>
      <c r="D33" s="13"/>
      <c r="E33" s="23">
        <v>137510000</v>
      </c>
    </row>
    <row r="34" spans="2:5" s="4" customFormat="1" ht="21.75" customHeight="1">
      <c r="B34" s="8" t="s">
        <v>262</v>
      </c>
      <c r="C34" s="9"/>
      <c r="D34" s="13"/>
      <c r="E34" s="23"/>
    </row>
    <row r="35" spans="2:6" s="4" customFormat="1" ht="21.75" customHeight="1">
      <c r="B35" s="63" t="s">
        <v>17</v>
      </c>
      <c r="C35" s="64" t="s">
        <v>41</v>
      </c>
      <c r="D35" s="174"/>
      <c r="E35" s="65">
        <v>115150000</v>
      </c>
      <c r="F35" s="5"/>
    </row>
    <row r="36" spans="2:5" s="4" customFormat="1" ht="21.75" customHeight="1">
      <c r="B36" s="15" t="s">
        <v>74</v>
      </c>
      <c r="C36" s="66"/>
      <c r="D36" s="175"/>
      <c r="E36" s="25"/>
    </row>
    <row r="37" spans="2:5" s="14" customFormat="1" ht="21.75" customHeight="1">
      <c r="B37" s="18"/>
      <c r="C37" s="61"/>
      <c r="D37" s="172"/>
      <c r="E37" s="19"/>
    </row>
    <row r="38" spans="2:5" s="4" customFormat="1" ht="21.75" customHeight="1">
      <c r="B38" s="24" t="s">
        <v>20</v>
      </c>
      <c r="C38" s="67"/>
      <c r="D38" s="176"/>
      <c r="E38" s="17"/>
    </row>
    <row r="39" spans="2:5" s="4" customFormat="1" ht="21.75" customHeight="1">
      <c r="B39" s="16"/>
      <c r="C39" s="67"/>
      <c r="D39" s="176"/>
      <c r="E39" s="17"/>
    </row>
    <row r="40" spans="2:5" s="4" customFormat="1" ht="21.75" customHeight="1">
      <c r="B40" s="12" t="s">
        <v>11</v>
      </c>
      <c r="C40" s="30" t="s">
        <v>15</v>
      </c>
      <c r="D40" s="7" t="s">
        <v>16</v>
      </c>
      <c r="E40" s="7" t="s">
        <v>23</v>
      </c>
    </row>
    <row r="41" spans="2:5" s="4" customFormat="1" ht="21.75" customHeight="1">
      <c r="B41" s="20" t="s">
        <v>22</v>
      </c>
      <c r="C41" s="68"/>
      <c r="D41" s="177">
        <v>1240</v>
      </c>
      <c r="E41" s="69"/>
    </row>
    <row r="42" spans="2:5" s="4" customFormat="1" ht="21.75" customHeight="1">
      <c r="B42" s="8" t="s">
        <v>31</v>
      </c>
      <c r="C42" s="9"/>
      <c r="D42" s="13"/>
      <c r="E42" s="70">
        <f>E43+E48+E53</f>
        <v>1519400000</v>
      </c>
    </row>
    <row r="43" spans="2:5" s="4" customFormat="1" ht="21.75" customHeight="1">
      <c r="B43" s="8" t="s">
        <v>252</v>
      </c>
      <c r="C43" s="9"/>
      <c r="D43" s="13"/>
      <c r="E43" s="10">
        <f>E44+E45+E46</f>
        <v>1151000000</v>
      </c>
    </row>
    <row r="44" spans="2:5" s="14" customFormat="1" ht="15.75">
      <c r="B44" s="8" t="s">
        <v>34</v>
      </c>
      <c r="C44" s="9" t="s">
        <v>44</v>
      </c>
      <c r="D44" s="13">
        <v>26</v>
      </c>
      <c r="E44" s="10">
        <f>550000*10*D44</f>
        <v>143000000</v>
      </c>
    </row>
    <row r="45" spans="2:5" s="14" customFormat="1" ht="15.75">
      <c r="B45" s="8" t="s">
        <v>26</v>
      </c>
      <c r="C45" s="9" t="s">
        <v>45</v>
      </c>
      <c r="D45" s="13">
        <v>77</v>
      </c>
      <c r="E45" s="10">
        <f>D45*480000*10</f>
        <v>369600000</v>
      </c>
    </row>
    <row r="46" spans="2:5" s="14" customFormat="1" ht="15.75">
      <c r="B46" s="8" t="s">
        <v>27</v>
      </c>
      <c r="C46" s="9" t="s">
        <v>46</v>
      </c>
      <c r="D46" s="13">
        <v>152</v>
      </c>
      <c r="E46" s="10">
        <f>D46*420000*10</f>
        <v>638400000</v>
      </c>
    </row>
    <row r="47" spans="2:5" s="14" customFormat="1" ht="15.75">
      <c r="B47" s="8"/>
      <c r="C47" s="9"/>
      <c r="D47" s="13"/>
      <c r="E47" s="10"/>
    </row>
    <row r="48" spans="2:5" s="4" customFormat="1" ht="15.75">
      <c r="B48" s="71" t="s">
        <v>25</v>
      </c>
      <c r="C48" s="9"/>
      <c r="D48" s="13"/>
      <c r="E48" s="10">
        <f>E49+E50+E51</f>
        <v>148800000</v>
      </c>
    </row>
    <row r="49" spans="2:5" s="4" customFormat="1" ht="15.75">
      <c r="B49" s="71" t="s">
        <v>34</v>
      </c>
      <c r="C49" s="9" t="s">
        <v>36</v>
      </c>
      <c r="D49" s="13">
        <v>46</v>
      </c>
      <c r="E49" s="10">
        <f>150000*D49*10</f>
        <v>69000000</v>
      </c>
    </row>
    <row r="50" spans="2:5" s="4" customFormat="1" ht="15.75">
      <c r="B50" s="8" t="s">
        <v>26</v>
      </c>
      <c r="C50" s="9" t="s">
        <v>37</v>
      </c>
      <c r="D50" s="13">
        <v>46</v>
      </c>
      <c r="E50" s="10">
        <f>90000*D50*10</f>
        <v>41400000</v>
      </c>
    </row>
    <row r="51" spans="2:5" s="4" customFormat="1" ht="15.75">
      <c r="B51" s="8" t="s">
        <v>27</v>
      </c>
      <c r="C51" s="9" t="s">
        <v>38</v>
      </c>
      <c r="D51" s="13">
        <v>64</v>
      </c>
      <c r="E51" s="10">
        <f>60000*D51*10</f>
        <v>38400000</v>
      </c>
    </row>
    <row r="52" spans="2:5" s="4" customFormat="1" ht="15.75">
      <c r="B52" s="8"/>
      <c r="C52" s="9"/>
      <c r="D52" s="13"/>
      <c r="E52" s="10"/>
    </row>
    <row r="53" spans="2:5" s="4" customFormat="1" ht="15.75">
      <c r="B53" s="8" t="s">
        <v>24</v>
      </c>
      <c r="C53" s="9"/>
      <c r="D53" s="13"/>
      <c r="E53" s="10">
        <f>E54+E55</f>
        <v>219600000</v>
      </c>
    </row>
    <row r="54" spans="2:5" s="4" customFormat="1" ht="15.75">
      <c r="B54" s="71" t="s">
        <v>34</v>
      </c>
      <c r="C54" s="9" t="s">
        <v>43</v>
      </c>
      <c r="D54" s="13">
        <v>35</v>
      </c>
      <c r="E54" s="10">
        <f>240000*D54*9</f>
        <v>75600000</v>
      </c>
    </row>
    <row r="55" spans="2:5" ht="18.75">
      <c r="B55" s="11" t="s">
        <v>26</v>
      </c>
      <c r="C55" s="72" t="s">
        <v>35</v>
      </c>
      <c r="D55" s="178">
        <v>80</v>
      </c>
      <c r="E55" s="73">
        <f>200000*D55*9</f>
        <v>144000000</v>
      </c>
    </row>
    <row r="56" spans="2:5" ht="18.75">
      <c r="B56" s="21"/>
      <c r="C56" s="67"/>
      <c r="D56" s="179"/>
      <c r="E56" s="17"/>
    </row>
    <row r="57" spans="2:5" ht="18.75">
      <c r="B57" s="22" t="s">
        <v>263</v>
      </c>
      <c r="C57" s="74"/>
      <c r="D57" s="176"/>
      <c r="E57" s="17"/>
    </row>
    <row r="58" spans="2:5" ht="18.75">
      <c r="B58" s="20" t="s">
        <v>12</v>
      </c>
      <c r="C58" s="29">
        <v>8532470</v>
      </c>
      <c r="D58" s="176"/>
      <c r="E58" s="17"/>
    </row>
    <row r="59" spans="2:5" ht="18.75">
      <c r="B59" s="8" t="s">
        <v>13</v>
      </c>
      <c r="C59" s="23">
        <v>25312980</v>
      </c>
      <c r="D59" s="176"/>
      <c r="E59" s="17"/>
    </row>
    <row r="60" spans="2:5" ht="18.75">
      <c r="B60" s="8" t="s">
        <v>14</v>
      </c>
      <c r="C60" s="23">
        <v>8210156</v>
      </c>
      <c r="D60" s="176"/>
      <c r="E60" s="17"/>
    </row>
    <row r="61" spans="2:5" ht="18.75">
      <c r="B61" s="11"/>
      <c r="C61" s="75"/>
      <c r="D61" s="176"/>
      <c r="E61" s="17"/>
    </row>
  </sheetData>
  <sheetProtection/>
  <mergeCells count="1">
    <mergeCell ref="B2:E2"/>
  </mergeCells>
  <printOptions/>
  <pageMargins left="0.25" right="0" top="0.5" bottom="0.25"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R266"/>
  <sheetViews>
    <sheetView zoomScalePageLayoutView="0" workbookViewId="0" topLeftCell="A45">
      <selection activeCell="Q63" sqref="Q63"/>
    </sheetView>
  </sheetViews>
  <sheetFormatPr defaultColWidth="8.66015625" defaultRowHeight="18"/>
  <cols>
    <col min="1" max="1" width="4.08203125" style="0" customWidth="1"/>
    <col min="2" max="2" width="28.33203125" style="0" customWidth="1"/>
    <col min="3" max="3" width="4.58203125" style="375" hidden="1" customWidth="1"/>
    <col min="4" max="4" width="6.91015625" style="167" customWidth="1"/>
    <col min="5" max="5" width="6" style="80" customWidth="1"/>
    <col min="6" max="6" width="7" style="103" customWidth="1"/>
    <col min="7" max="7" width="5.58203125" style="80" customWidth="1"/>
    <col min="8" max="8" width="7.08203125" style="80" customWidth="1"/>
    <col min="9" max="12" width="0" style="0" hidden="1" customWidth="1"/>
    <col min="13" max="14" width="0.41015625" style="0" hidden="1" customWidth="1"/>
    <col min="15" max="15" width="6.16015625" style="0" customWidth="1"/>
    <col min="17" max="17" width="8.08203125" style="80" bestFit="1" customWidth="1"/>
  </cols>
  <sheetData>
    <row r="1" spans="1:15" ht="18" customHeight="1">
      <c r="A1" s="76" t="s">
        <v>75</v>
      </c>
      <c r="B1" s="77"/>
      <c r="C1" s="181" t="s">
        <v>264</v>
      </c>
      <c r="D1" s="78"/>
      <c r="E1" s="79"/>
      <c r="F1" s="79"/>
      <c r="G1" s="79"/>
      <c r="H1" s="79"/>
      <c r="I1" s="182"/>
      <c r="J1" s="182"/>
      <c r="K1" s="182"/>
      <c r="L1" s="182"/>
      <c r="M1" s="182"/>
      <c r="N1" s="182"/>
      <c r="O1" s="77"/>
    </row>
    <row r="2" spans="1:15" ht="21" customHeight="1">
      <c r="A2" s="81" t="s">
        <v>76</v>
      </c>
      <c r="B2" s="77"/>
      <c r="C2" s="181" t="s">
        <v>265</v>
      </c>
      <c r="D2" s="78"/>
      <c r="E2" s="82"/>
      <c r="F2" s="82"/>
      <c r="G2" s="82"/>
      <c r="H2" s="82"/>
      <c r="I2" s="83"/>
      <c r="J2" s="83"/>
      <c r="K2" s="83"/>
      <c r="L2" s="83"/>
      <c r="M2" s="83"/>
      <c r="N2" s="83"/>
      <c r="O2" s="83"/>
    </row>
    <row r="3" spans="1:15" ht="36" customHeight="1">
      <c r="A3" s="84"/>
      <c r="B3" s="85" t="s">
        <v>266</v>
      </c>
      <c r="C3" s="183"/>
      <c r="D3" s="78"/>
      <c r="E3" s="86"/>
      <c r="F3" s="86"/>
      <c r="G3" s="86"/>
      <c r="H3" s="86"/>
      <c r="I3" s="87"/>
      <c r="J3" s="87"/>
      <c r="K3" s="87"/>
      <c r="L3" s="87"/>
      <c r="M3" s="87"/>
      <c r="N3" s="87"/>
      <c r="O3" s="87"/>
    </row>
    <row r="4" spans="1:15" ht="65.25" customHeight="1">
      <c r="A4" s="84"/>
      <c r="B4" s="394" t="s">
        <v>267</v>
      </c>
      <c r="C4" s="377"/>
      <c r="D4" s="377"/>
      <c r="E4" s="377"/>
      <c r="F4" s="377"/>
      <c r="G4" s="377"/>
      <c r="H4" s="377"/>
      <c r="I4" s="377"/>
      <c r="J4" s="377"/>
      <c r="K4" s="377"/>
      <c r="L4" s="377"/>
      <c r="M4" s="377"/>
      <c r="N4" s="377"/>
      <c r="O4" s="377"/>
    </row>
    <row r="5" spans="1:15" ht="13.5" customHeight="1">
      <c r="A5" s="84"/>
      <c r="B5" s="88"/>
      <c r="C5" s="183"/>
      <c r="D5" s="78"/>
      <c r="E5" s="89"/>
      <c r="F5" s="89"/>
      <c r="G5" s="184" t="s">
        <v>268</v>
      </c>
      <c r="I5" s="84"/>
      <c r="J5" s="84"/>
      <c r="K5" s="84"/>
      <c r="L5" s="84"/>
      <c r="M5" s="84"/>
      <c r="N5" s="185" t="s">
        <v>269</v>
      </c>
      <c r="O5" s="90"/>
    </row>
    <row r="6" spans="1:15" ht="8.25" customHeight="1">
      <c r="A6" s="84"/>
      <c r="B6" s="88"/>
      <c r="C6" s="183"/>
      <c r="D6" s="78"/>
      <c r="E6" s="89"/>
      <c r="F6" s="89"/>
      <c r="G6" s="89"/>
      <c r="H6" s="89"/>
      <c r="I6" s="84"/>
      <c r="J6" s="84"/>
      <c r="K6" s="84"/>
      <c r="L6" s="84"/>
      <c r="M6" s="84"/>
      <c r="N6" s="84"/>
      <c r="O6" s="90"/>
    </row>
    <row r="7" spans="1:17" s="91" customFormat="1" ht="24.75" customHeight="1">
      <c r="A7" s="395" t="s">
        <v>77</v>
      </c>
      <c r="B7" s="397" t="s">
        <v>78</v>
      </c>
      <c r="C7" s="399" t="s">
        <v>270</v>
      </c>
      <c r="D7" s="385" t="s">
        <v>271</v>
      </c>
      <c r="E7" s="385" t="s">
        <v>272</v>
      </c>
      <c r="F7" s="385" t="s">
        <v>273</v>
      </c>
      <c r="G7" s="385" t="s">
        <v>274</v>
      </c>
      <c r="H7" s="385" t="s">
        <v>275</v>
      </c>
      <c r="I7" s="387" t="s">
        <v>276</v>
      </c>
      <c r="J7" s="388"/>
      <c r="K7" s="388"/>
      <c r="L7" s="388"/>
      <c r="M7" s="389"/>
      <c r="N7" s="390" t="s">
        <v>277</v>
      </c>
      <c r="O7" s="392" t="s">
        <v>79</v>
      </c>
      <c r="Q7" s="92"/>
    </row>
    <row r="8" spans="1:17" s="91" customFormat="1" ht="53.25" customHeight="1">
      <c r="A8" s="396"/>
      <c r="B8" s="398"/>
      <c r="C8" s="400"/>
      <c r="D8" s="386"/>
      <c r="E8" s="401"/>
      <c r="F8" s="386"/>
      <c r="G8" s="386"/>
      <c r="H8" s="386" t="s">
        <v>80</v>
      </c>
      <c r="I8" s="186" t="s">
        <v>278</v>
      </c>
      <c r="J8" s="186" t="s">
        <v>279</v>
      </c>
      <c r="K8" s="186" t="s">
        <v>280</v>
      </c>
      <c r="L8" s="186" t="s">
        <v>281</v>
      </c>
      <c r="M8" s="186" t="s">
        <v>282</v>
      </c>
      <c r="N8" s="391" t="s">
        <v>80</v>
      </c>
      <c r="O8" s="393"/>
      <c r="Q8" s="92"/>
    </row>
    <row r="9" spans="1:17" s="91" customFormat="1" ht="21.75" customHeight="1">
      <c r="A9" s="187" t="s">
        <v>283</v>
      </c>
      <c r="B9" s="188" t="s">
        <v>284</v>
      </c>
      <c r="C9" s="189"/>
      <c r="D9" s="190"/>
      <c r="E9" s="190"/>
      <c r="F9" s="190"/>
      <c r="G9" s="190"/>
      <c r="H9" s="190"/>
      <c r="I9" s="191"/>
      <c r="J9" s="191"/>
      <c r="K9" s="191"/>
      <c r="L9" s="191"/>
      <c r="M9" s="191"/>
      <c r="N9" s="191"/>
      <c r="O9" s="192"/>
      <c r="Q9" s="92"/>
    </row>
    <row r="10" spans="1:17" s="91" customFormat="1" ht="18" customHeight="1">
      <c r="A10" s="193">
        <v>1</v>
      </c>
      <c r="B10" s="194" t="s">
        <v>81</v>
      </c>
      <c r="C10" s="195"/>
      <c r="D10" s="139">
        <f>D11+D12</f>
        <v>18887</v>
      </c>
      <c r="E10" s="139">
        <f>E11+E12</f>
        <v>0</v>
      </c>
      <c r="F10" s="139"/>
      <c r="G10" s="139"/>
      <c r="H10" s="139"/>
      <c r="I10" s="196"/>
      <c r="J10" s="196"/>
      <c r="K10" s="196"/>
      <c r="L10" s="196"/>
      <c r="M10" s="196"/>
      <c r="N10" s="196"/>
      <c r="O10" s="197">
        <f>O11+O12</f>
        <v>23300</v>
      </c>
      <c r="Q10" s="92"/>
    </row>
    <row r="11" spans="1:17" s="102" customFormat="1" ht="18" customHeight="1">
      <c r="A11" s="95"/>
      <c r="B11" s="97" t="s">
        <v>82</v>
      </c>
      <c r="C11" s="97"/>
      <c r="D11" s="100">
        <f>11582+2743+2554</f>
        <v>16879</v>
      </c>
      <c r="E11" s="100"/>
      <c r="F11" s="100"/>
      <c r="G11" s="100"/>
      <c r="H11" s="100"/>
      <c r="I11" s="198"/>
      <c r="J11" s="198"/>
      <c r="K11" s="198"/>
      <c r="L11" s="198"/>
      <c r="M11" s="198"/>
      <c r="N11" s="198"/>
      <c r="O11" s="101">
        <v>21800</v>
      </c>
      <c r="Q11" s="103"/>
    </row>
    <row r="12" spans="1:17" s="102" customFormat="1" ht="18" customHeight="1">
      <c r="A12" s="95"/>
      <c r="B12" s="97" t="s">
        <v>83</v>
      </c>
      <c r="C12" s="97"/>
      <c r="D12" s="100">
        <f>687+413+908</f>
        <v>2008</v>
      </c>
      <c r="E12" s="100"/>
      <c r="F12" s="100"/>
      <c r="G12" s="100"/>
      <c r="H12" s="100"/>
      <c r="I12" s="198"/>
      <c r="J12" s="198"/>
      <c r="K12" s="198"/>
      <c r="L12" s="198"/>
      <c r="M12" s="198"/>
      <c r="N12" s="198"/>
      <c r="O12" s="101">
        <v>1500</v>
      </c>
      <c r="Q12" s="103"/>
    </row>
    <row r="13" spans="1:17" s="91" customFormat="1" ht="18" customHeight="1">
      <c r="A13" s="95">
        <v>2</v>
      </c>
      <c r="B13" s="96" t="s">
        <v>84</v>
      </c>
      <c r="C13" s="97"/>
      <c r="D13" s="98">
        <f>D14+D15+D16</f>
        <v>18887</v>
      </c>
      <c r="E13" s="98">
        <f>E14+E15+E16</f>
        <v>0</v>
      </c>
      <c r="F13" s="98"/>
      <c r="G13" s="98"/>
      <c r="H13" s="98"/>
      <c r="I13" s="199"/>
      <c r="J13" s="199"/>
      <c r="K13" s="199"/>
      <c r="L13" s="199"/>
      <c r="M13" s="199"/>
      <c r="N13" s="199"/>
      <c r="O13" s="99">
        <f>O14+O15+O16</f>
        <v>23300</v>
      </c>
      <c r="Q13" s="92"/>
    </row>
    <row r="14" spans="1:17" s="102" customFormat="1" ht="18" customHeight="1">
      <c r="A14" s="95"/>
      <c r="B14" s="97" t="s">
        <v>85</v>
      </c>
      <c r="C14" s="97"/>
      <c r="D14" s="100">
        <f>D11-D15</f>
        <v>10127.4</v>
      </c>
      <c r="E14" s="100"/>
      <c r="F14" s="100"/>
      <c r="G14" s="100"/>
      <c r="H14" s="100"/>
      <c r="I14" s="198"/>
      <c r="J14" s="198"/>
      <c r="K14" s="198"/>
      <c r="L14" s="198"/>
      <c r="M14" s="198"/>
      <c r="N14" s="198"/>
      <c r="O14" s="101">
        <f>O11-O15</f>
        <v>13840</v>
      </c>
      <c r="Q14" s="103"/>
    </row>
    <row r="15" spans="1:17" s="102" customFormat="1" ht="18" customHeight="1">
      <c r="A15" s="95"/>
      <c r="B15" s="97" t="s">
        <v>86</v>
      </c>
      <c r="C15" s="97"/>
      <c r="D15" s="100">
        <f>D11*0.4</f>
        <v>6751.6</v>
      </c>
      <c r="E15" s="100"/>
      <c r="F15" s="100"/>
      <c r="G15" s="100"/>
      <c r="H15" s="100"/>
      <c r="I15" s="198"/>
      <c r="J15" s="198"/>
      <c r="K15" s="198"/>
      <c r="L15" s="198"/>
      <c r="M15" s="198"/>
      <c r="N15" s="198"/>
      <c r="O15" s="101">
        <v>7960</v>
      </c>
      <c r="Q15" s="103"/>
    </row>
    <row r="16" spans="1:17" s="102" customFormat="1" ht="18" customHeight="1">
      <c r="A16" s="200"/>
      <c r="B16" s="201" t="s">
        <v>83</v>
      </c>
      <c r="C16" s="201"/>
      <c r="D16" s="137">
        <f>D12</f>
        <v>2008</v>
      </c>
      <c r="E16" s="137"/>
      <c r="F16" s="137"/>
      <c r="G16" s="137"/>
      <c r="H16" s="137"/>
      <c r="I16" s="202"/>
      <c r="J16" s="202"/>
      <c r="K16" s="202"/>
      <c r="L16" s="202"/>
      <c r="M16" s="202"/>
      <c r="N16" s="202"/>
      <c r="O16" s="203">
        <v>1500</v>
      </c>
      <c r="Q16" s="103"/>
    </row>
    <row r="17" spans="1:17" s="93" customFormat="1" ht="18" customHeight="1">
      <c r="A17" s="204" t="s">
        <v>285</v>
      </c>
      <c r="B17" s="205" t="s">
        <v>286</v>
      </c>
      <c r="C17" s="206"/>
      <c r="D17" s="207">
        <f aca="true" t="shared" si="0" ref="D17:O17">D18+D42+D47</f>
        <v>106876.7279</v>
      </c>
      <c r="E17" s="207">
        <f t="shared" si="0"/>
        <v>2068.572862</v>
      </c>
      <c r="F17" s="207">
        <f t="shared" si="0"/>
        <v>112850</v>
      </c>
      <c r="G17" s="207">
        <f t="shared" si="0"/>
        <v>879</v>
      </c>
      <c r="H17" s="207">
        <f t="shared" si="0"/>
        <v>114039.572862</v>
      </c>
      <c r="I17" s="207">
        <f t="shared" si="0"/>
        <v>0</v>
      </c>
      <c r="J17" s="207">
        <f t="shared" si="0"/>
        <v>0</v>
      </c>
      <c r="K17" s="207">
        <f t="shared" si="0"/>
        <v>0</v>
      </c>
      <c r="L17" s="207">
        <f t="shared" si="0"/>
        <v>0</v>
      </c>
      <c r="M17" s="207">
        <f t="shared" si="0"/>
        <v>0</v>
      </c>
      <c r="N17" s="207">
        <f t="shared" si="0"/>
        <v>0</v>
      </c>
      <c r="O17" s="207">
        <f t="shared" si="0"/>
        <v>23300</v>
      </c>
      <c r="Q17" s="94"/>
    </row>
    <row r="18" spans="1:17" s="91" customFormat="1" ht="18" customHeight="1">
      <c r="A18" s="187" t="s">
        <v>60</v>
      </c>
      <c r="B18" s="188" t="s">
        <v>87</v>
      </c>
      <c r="C18" s="188"/>
      <c r="D18" s="208">
        <f aca="true" t="shared" si="1" ref="D18:O18">D19+D40</f>
        <v>96141.7279</v>
      </c>
      <c r="E18" s="208">
        <f t="shared" si="1"/>
        <v>1248.572862</v>
      </c>
      <c r="F18" s="208">
        <f t="shared" si="1"/>
        <v>106075</v>
      </c>
      <c r="G18" s="208">
        <f t="shared" si="1"/>
        <v>826</v>
      </c>
      <c r="H18" s="208">
        <f t="shared" si="1"/>
        <v>106497.572862</v>
      </c>
      <c r="I18" s="208">
        <f t="shared" si="1"/>
        <v>0</v>
      </c>
      <c r="J18" s="208">
        <f t="shared" si="1"/>
        <v>0</v>
      </c>
      <c r="K18" s="208">
        <f t="shared" si="1"/>
        <v>0</v>
      </c>
      <c r="L18" s="208">
        <f t="shared" si="1"/>
        <v>0</v>
      </c>
      <c r="M18" s="208">
        <f t="shared" si="1"/>
        <v>0</v>
      </c>
      <c r="N18" s="208">
        <f t="shared" si="1"/>
        <v>0</v>
      </c>
      <c r="O18" s="208">
        <f t="shared" si="1"/>
        <v>23300</v>
      </c>
      <c r="Q18" s="92"/>
    </row>
    <row r="19" spans="1:17" s="91" customFormat="1" ht="18" customHeight="1">
      <c r="A19" s="187">
        <v>1</v>
      </c>
      <c r="B19" s="188" t="s">
        <v>88</v>
      </c>
      <c r="C19" s="188"/>
      <c r="D19" s="208">
        <f>D20+D37</f>
        <v>89141.7279</v>
      </c>
      <c r="E19" s="208">
        <f>E20+E37</f>
        <v>1248.572862</v>
      </c>
      <c r="F19" s="208">
        <f>F20+F37</f>
        <v>85075</v>
      </c>
      <c r="G19" s="208">
        <f aca="true" t="shared" si="2" ref="G19:O19">G20+G37</f>
        <v>826</v>
      </c>
      <c r="H19" s="208">
        <f t="shared" si="2"/>
        <v>85497.572862</v>
      </c>
      <c r="I19" s="208">
        <f t="shared" si="2"/>
        <v>0</v>
      </c>
      <c r="J19" s="208">
        <f t="shared" si="2"/>
        <v>0</v>
      </c>
      <c r="K19" s="208">
        <f t="shared" si="2"/>
        <v>0</v>
      </c>
      <c r="L19" s="208">
        <f t="shared" si="2"/>
        <v>0</v>
      </c>
      <c r="M19" s="208">
        <f t="shared" si="2"/>
        <v>0</v>
      </c>
      <c r="N19" s="208">
        <f t="shared" si="2"/>
        <v>0</v>
      </c>
      <c r="O19" s="208">
        <f t="shared" si="2"/>
        <v>23300</v>
      </c>
      <c r="Q19" s="92"/>
    </row>
    <row r="20" spans="1:17" s="91" customFormat="1" ht="18" customHeight="1">
      <c r="A20" s="209" t="s">
        <v>89</v>
      </c>
      <c r="B20" s="194" t="s">
        <v>287</v>
      </c>
      <c r="C20" s="210"/>
      <c r="D20" s="211">
        <f>SUM(D21:D32)</f>
        <v>85702.7279</v>
      </c>
      <c r="E20" s="211">
        <f>SUM(E21:E32)</f>
        <v>606.165534</v>
      </c>
      <c r="F20" s="211">
        <f>SUM(F21:F32)</f>
        <v>81732</v>
      </c>
      <c r="G20" s="211">
        <f aca="true" t="shared" si="3" ref="G20:O20">SUM(G21:G32)</f>
        <v>603</v>
      </c>
      <c r="H20" s="211">
        <f t="shared" si="3"/>
        <v>81735.165534</v>
      </c>
      <c r="I20" s="211">
        <f t="shared" si="3"/>
        <v>0</v>
      </c>
      <c r="J20" s="211">
        <f t="shared" si="3"/>
        <v>0</v>
      </c>
      <c r="K20" s="211">
        <f t="shared" si="3"/>
        <v>0</v>
      </c>
      <c r="L20" s="211">
        <f t="shared" si="3"/>
        <v>0</v>
      </c>
      <c r="M20" s="211">
        <f t="shared" si="3"/>
        <v>0</v>
      </c>
      <c r="N20" s="211">
        <f t="shared" si="3"/>
        <v>0</v>
      </c>
      <c r="O20" s="211">
        <f t="shared" si="3"/>
        <v>20500</v>
      </c>
      <c r="Q20" s="92"/>
    </row>
    <row r="21" spans="1:17" s="102" customFormat="1" ht="18" customHeight="1">
      <c r="A21" s="134" t="s">
        <v>90</v>
      </c>
      <c r="B21" s="97" t="s">
        <v>91</v>
      </c>
      <c r="C21" s="212"/>
      <c r="D21" s="122">
        <v>55556</v>
      </c>
      <c r="E21" s="100"/>
      <c r="F21" s="213">
        <v>55922</v>
      </c>
      <c r="G21" s="100"/>
      <c r="H21" s="100">
        <f>E21+F21-G21</f>
        <v>55922</v>
      </c>
      <c r="I21" s="198"/>
      <c r="J21" s="198"/>
      <c r="K21" s="198"/>
      <c r="L21" s="198"/>
      <c r="M21" s="198"/>
      <c r="N21" s="198"/>
      <c r="O21" s="119"/>
      <c r="Q21" s="103"/>
    </row>
    <row r="22" spans="1:17" s="102" customFormat="1" ht="18" customHeight="1">
      <c r="A22" s="134" t="s">
        <v>92</v>
      </c>
      <c r="B22" s="118" t="s">
        <v>93</v>
      </c>
      <c r="C22" s="97"/>
      <c r="D22" s="100"/>
      <c r="E22" s="100"/>
      <c r="F22" s="100"/>
      <c r="G22" s="100"/>
      <c r="H22" s="100">
        <f aca="true" t="shared" si="4" ref="H22:H35">E22+F22-G22</f>
        <v>0</v>
      </c>
      <c r="I22" s="198"/>
      <c r="J22" s="198"/>
      <c r="K22" s="198"/>
      <c r="L22" s="198"/>
      <c r="M22" s="198"/>
      <c r="N22" s="198"/>
      <c r="O22" s="119">
        <f>O61</f>
        <v>7960</v>
      </c>
      <c r="Q22" s="103"/>
    </row>
    <row r="23" spans="1:17" s="102" customFormat="1" ht="18" customHeight="1">
      <c r="A23" s="134" t="s">
        <v>94</v>
      </c>
      <c r="B23" s="118" t="s">
        <v>95</v>
      </c>
      <c r="C23" s="97"/>
      <c r="D23" s="109"/>
      <c r="E23" s="109"/>
      <c r="F23" s="100"/>
      <c r="G23" s="109"/>
      <c r="H23" s="100">
        <f t="shared" si="4"/>
        <v>0</v>
      </c>
      <c r="I23" s="198"/>
      <c r="J23" s="198"/>
      <c r="K23" s="198"/>
      <c r="L23" s="198"/>
      <c r="M23" s="198"/>
      <c r="N23" s="198"/>
      <c r="O23" s="119"/>
      <c r="Q23" s="103"/>
    </row>
    <row r="24" spans="1:17" s="102" customFormat="1" ht="18" customHeight="1">
      <c r="A24" s="134" t="s">
        <v>96</v>
      </c>
      <c r="B24" s="118" t="s">
        <v>97</v>
      </c>
      <c r="C24" s="97"/>
      <c r="D24" s="109">
        <v>6270</v>
      </c>
      <c r="E24" s="109"/>
      <c r="F24" s="213">
        <v>6270</v>
      </c>
      <c r="G24" s="121"/>
      <c r="H24" s="100">
        <f t="shared" si="4"/>
        <v>6270</v>
      </c>
      <c r="I24" s="198"/>
      <c r="J24" s="198"/>
      <c r="K24" s="198"/>
      <c r="L24" s="198"/>
      <c r="M24" s="198"/>
      <c r="N24" s="198"/>
      <c r="O24" s="119">
        <f>O52</f>
        <v>2300</v>
      </c>
      <c r="Q24" s="103"/>
    </row>
    <row r="25" spans="1:17" s="102" customFormat="1" ht="18" customHeight="1">
      <c r="A25" s="134" t="s">
        <v>98</v>
      </c>
      <c r="B25" s="118" t="s">
        <v>99</v>
      </c>
      <c r="C25" s="97"/>
      <c r="D25" s="109">
        <v>1960</v>
      </c>
      <c r="E25" s="109"/>
      <c r="F25" s="213">
        <v>1960</v>
      </c>
      <c r="G25" s="109"/>
      <c r="H25" s="100">
        <f t="shared" si="4"/>
        <v>1960</v>
      </c>
      <c r="I25" s="198"/>
      <c r="J25" s="198"/>
      <c r="K25" s="198"/>
      <c r="L25" s="198"/>
      <c r="M25" s="198"/>
      <c r="N25" s="198"/>
      <c r="O25" s="119"/>
      <c r="Q25" s="103"/>
    </row>
    <row r="26" spans="1:17" s="102" customFormat="1" ht="18" customHeight="1">
      <c r="A26" s="134" t="s">
        <v>100</v>
      </c>
      <c r="B26" s="118" t="s">
        <v>101</v>
      </c>
      <c r="C26" s="97"/>
      <c r="D26" s="109">
        <f>6090+3577</f>
        <v>9667</v>
      </c>
      <c r="E26" s="109"/>
      <c r="F26" s="213">
        <f>5737+2964</f>
        <v>8701</v>
      </c>
      <c r="G26" s="109">
        <f>G51</f>
        <v>603</v>
      </c>
      <c r="H26" s="100">
        <f t="shared" si="4"/>
        <v>8098</v>
      </c>
      <c r="I26" s="198"/>
      <c r="J26" s="198"/>
      <c r="K26" s="198"/>
      <c r="L26" s="198"/>
      <c r="M26" s="198"/>
      <c r="N26" s="198"/>
      <c r="O26" s="119">
        <f>O72</f>
        <v>10240</v>
      </c>
      <c r="Q26" s="103"/>
    </row>
    <row r="27" spans="1:17" s="102" customFormat="1" ht="18" customHeight="1">
      <c r="A27" s="134" t="s">
        <v>102</v>
      </c>
      <c r="B27" s="118" t="s">
        <v>103</v>
      </c>
      <c r="C27" s="97"/>
      <c r="D27" s="109">
        <f>5055+200+10304.7-5255</f>
        <v>10304.7</v>
      </c>
      <c r="E27" s="109"/>
      <c r="F27" s="213">
        <f>5435+1632</f>
        <v>7067</v>
      </c>
      <c r="G27" s="121"/>
      <c r="H27" s="100">
        <f t="shared" si="4"/>
        <v>7067</v>
      </c>
      <c r="I27" s="198"/>
      <c r="J27" s="198"/>
      <c r="K27" s="198"/>
      <c r="L27" s="198"/>
      <c r="M27" s="198"/>
      <c r="N27" s="198"/>
      <c r="O27" s="119"/>
      <c r="Q27" s="103"/>
    </row>
    <row r="28" spans="1:17" s="102" customFormat="1" ht="18" customHeight="1">
      <c r="A28" s="134" t="s">
        <v>104</v>
      </c>
      <c r="B28" s="118" t="s">
        <v>105</v>
      </c>
      <c r="C28" s="97"/>
      <c r="D28" s="109">
        <f>D125</f>
        <v>43.116</v>
      </c>
      <c r="E28" s="109"/>
      <c r="F28" s="213">
        <v>172</v>
      </c>
      <c r="G28" s="109"/>
      <c r="H28" s="100">
        <f t="shared" si="4"/>
        <v>172</v>
      </c>
      <c r="I28" s="198"/>
      <c r="J28" s="198"/>
      <c r="K28" s="198"/>
      <c r="L28" s="198"/>
      <c r="M28" s="198"/>
      <c r="N28" s="198"/>
      <c r="O28" s="119"/>
      <c r="Q28" s="103"/>
    </row>
    <row r="29" spans="1:17" s="102" customFormat="1" ht="18" customHeight="1">
      <c r="A29" s="134" t="s">
        <v>106</v>
      </c>
      <c r="B29" s="97" t="s">
        <v>288</v>
      </c>
      <c r="C29" s="97"/>
      <c r="D29" s="109">
        <v>1500</v>
      </c>
      <c r="E29" s="109">
        <f>E115</f>
        <v>606.165534</v>
      </c>
      <c r="F29" s="213">
        <v>1280</v>
      </c>
      <c r="G29" s="109"/>
      <c r="H29" s="100">
        <f t="shared" si="4"/>
        <v>1886.165534</v>
      </c>
      <c r="I29" s="198"/>
      <c r="J29" s="198"/>
      <c r="K29" s="198"/>
      <c r="L29" s="198"/>
      <c r="M29" s="198"/>
      <c r="N29" s="198"/>
      <c r="O29" s="119"/>
      <c r="Q29" s="103"/>
    </row>
    <row r="30" spans="1:17" s="102" customFormat="1" ht="18" customHeight="1">
      <c r="A30" s="134" t="s">
        <v>107</v>
      </c>
      <c r="B30" s="97" t="s">
        <v>108</v>
      </c>
      <c r="C30" s="97"/>
      <c r="D30" s="109">
        <f>D102+D103+D105</f>
        <v>159.9119</v>
      </c>
      <c r="E30" s="109"/>
      <c r="F30" s="213">
        <v>120</v>
      </c>
      <c r="G30" s="109"/>
      <c r="H30" s="100">
        <f t="shared" si="4"/>
        <v>120</v>
      </c>
      <c r="I30" s="198"/>
      <c r="J30" s="198"/>
      <c r="K30" s="198"/>
      <c r="L30" s="198"/>
      <c r="M30" s="198"/>
      <c r="N30" s="198"/>
      <c r="O30" s="119"/>
      <c r="Q30" s="103"/>
    </row>
    <row r="31" spans="1:17" s="102" customFormat="1" ht="18" customHeight="1">
      <c r="A31" s="134" t="s">
        <v>109</v>
      </c>
      <c r="B31" s="97" t="s">
        <v>110</v>
      </c>
      <c r="C31" s="97"/>
      <c r="D31" s="109">
        <v>150</v>
      </c>
      <c r="E31" s="109"/>
      <c r="F31" s="213">
        <v>240</v>
      </c>
      <c r="G31" s="109"/>
      <c r="H31" s="100">
        <f t="shared" si="4"/>
        <v>240</v>
      </c>
      <c r="I31" s="198"/>
      <c r="J31" s="198"/>
      <c r="K31" s="198"/>
      <c r="L31" s="198"/>
      <c r="M31" s="198"/>
      <c r="N31" s="198"/>
      <c r="O31" s="119"/>
      <c r="Q31" s="103"/>
    </row>
    <row r="32" spans="1:17" s="102" customFormat="1" ht="18" customHeight="1">
      <c r="A32" s="134" t="s">
        <v>111</v>
      </c>
      <c r="B32" s="97" t="s">
        <v>112</v>
      </c>
      <c r="C32" s="97"/>
      <c r="D32" s="109">
        <f>D114</f>
        <v>92</v>
      </c>
      <c r="E32" s="109"/>
      <c r="F32" s="100"/>
      <c r="G32" s="109"/>
      <c r="H32" s="100">
        <f t="shared" si="4"/>
        <v>0</v>
      </c>
      <c r="I32" s="198"/>
      <c r="J32" s="198"/>
      <c r="K32" s="198"/>
      <c r="L32" s="198"/>
      <c r="M32" s="198"/>
      <c r="N32" s="198"/>
      <c r="O32" s="119"/>
      <c r="Q32" s="103"/>
    </row>
    <row r="33" spans="1:17" s="102" customFormat="1" ht="15.75" hidden="1">
      <c r="A33" s="134"/>
      <c r="B33" s="146"/>
      <c r="C33" s="97"/>
      <c r="D33" s="109"/>
      <c r="E33" s="109"/>
      <c r="F33" s="100"/>
      <c r="G33" s="109"/>
      <c r="H33" s="100">
        <f t="shared" si="4"/>
        <v>0</v>
      </c>
      <c r="I33" s="198"/>
      <c r="J33" s="198"/>
      <c r="K33" s="198"/>
      <c r="L33" s="198"/>
      <c r="M33" s="198"/>
      <c r="N33" s="198"/>
      <c r="O33" s="119"/>
      <c r="Q33" s="103"/>
    </row>
    <row r="34" spans="1:17" s="102" customFormat="1" ht="18" customHeight="1" hidden="1">
      <c r="A34" s="134"/>
      <c r="B34" s="97"/>
      <c r="C34" s="97"/>
      <c r="D34" s="109"/>
      <c r="E34" s="109"/>
      <c r="F34" s="100"/>
      <c r="G34" s="109"/>
      <c r="H34" s="100">
        <f t="shared" si="4"/>
        <v>0</v>
      </c>
      <c r="I34" s="198"/>
      <c r="J34" s="198"/>
      <c r="K34" s="198"/>
      <c r="L34" s="198"/>
      <c r="M34" s="198"/>
      <c r="N34" s="198"/>
      <c r="O34" s="119"/>
      <c r="Q34" s="103"/>
    </row>
    <row r="35" spans="1:17" s="102" customFormat="1" ht="18" customHeight="1" hidden="1">
      <c r="A35" s="134"/>
      <c r="B35" s="97"/>
      <c r="C35" s="97"/>
      <c r="D35" s="109"/>
      <c r="E35" s="109"/>
      <c r="F35" s="100"/>
      <c r="G35" s="109"/>
      <c r="H35" s="100">
        <f t="shared" si="4"/>
        <v>0</v>
      </c>
      <c r="I35" s="198"/>
      <c r="J35" s="198"/>
      <c r="K35" s="198"/>
      <c r="L35" s="198"/>
      <c r="M35" s="198"/>
      <c r="N35" s="198"/>
      <c r="O35" s="119"/>
      <c r="Q35" s="103"/>
    </row>
    <row r="36" spans="1:17" s="91" customFormat="1" ht="18" customHeight="1">
      <c r="A36" s="116"/>
      <c r="B36" s="111" t="s">
        <v>289</v>
      </c>
      <c r="C36" s="104"/>
      <c r="D36" s="106">
        <f>SUM(D25:D35)</f>
        <v>23876.7279</v>
      </c>
      <c r="E36" s="106">
        <f>SUM(E25:E35)</f>
        <v>606.165534</v>
      </c>
      <c r="F36" s="106">
        <f>F25+F26+F27+F28+F29+F30++F31+F32++F33+F34+F35</f>
        <v>19540</v>
      </c>
      <c r="G36" s="106"/>
      <c r="H36" s="106">
        <f>SUM(H25:H35)</f>
        <v>19543.165534</v>
      </c>
      <c r="I36" s="214"/>
      <c r="J36" s="214"/>
      <c r="K36" s="214"/>
      <c r="L36" s="214"/>
      <c r="M36" s="214"/>
      <c r="N36" s="214"/>
      <c r="O36" s="112"/>
      <c r="Q36" s="92"/>
    </row>
    <row r="37" spans="1:17" s="91" customFormat="1" ht="18" customHeight="1">
      <c r="A37" s="116" t="s">
        <v>113</v>
      </c>
      <c r="B37" s="96" t="s">
        <v>290</v>
      </c>
      <c r="C37" s="96"/>
      <c r="D37" s="98">
        <f>D38+D39</f>
        <v>3439</v>
      </c>
      <c r="E37" s="98">
        <f aca="true" t="shared" si="5" ref="E37:O37">E38+E39</f>
        <v>642.407328</v>
      </c>
      <c r="F37" s="98">
        <f t="shared" si="5"/>
        <v>3343</v>
      </c>
      <c r="G37" s="98">
        <f t="shared" si="5"/>
        <v>223</v>
      </c>
      <c r="H37" s="98">
        <f t="shared" si="5"/>
        <v>3762.4073280000002</v>
      </c>
      <c r="I37" s="98">
        <f t="shared" si="5"/>
        <v>0</v>
      </c>
      <c r="J37" s="98">
        <f t="shared" si="5"/>
        <v>0</v>
      </c>
      <c r="K37" s="98">
        <f t="shared" si="5"/>
        <v>0</v>
      </c>
      <c r="L37" s="98">
        <f t="shared" si="5"/>
        <v>0</v>
      </c>
      <c r="M37" s="98">
        <f t="shared" si="5"/>
        <v>0</v>
      </c>
      <c r="N37" s="98">
        <f t="shared" si="5"/>
        <v>0</v>
      </c>
      <c r="O37" s="98">
        <f t="shared" si="5"/>
        <v>2800</v>
      </c>
      <c r="Q37" s="92"/>
    </row>
    <row r="38" spans="1:17" s="102" customFormat="1" ht="31.5">
      <c r="A38" s="116"/>
      <c r="B38" s="146" t="s">
        <v>115</v>
      </c>
      <c r="C38" s="97"/>
      <c r="D38" s="100">
        <f>3190+249</f>
        <v>3439</v>
      </c>
      <c r="E38" s="100">
        <f aca="true" t="shared" si="6" ref="E38:N38">E147-E152</f>
        <v>642.407328</v>
      </c>
      <c r="F38" s="215">
        <f>3190+103</f>
        <v>3293</v>
      </c>
      <c r="G38" s="100">
        <f t="shared" si="6"/>
        <v>223</v>
      </c>
      <c r="H38" s="100">
        <f t="shared" si="6"/>
        <v>3712.4073280000002</v>
      </c>
      <c r="I38" s="100">
        <f t="shared" si="6"/>
        <v>0</v>
      </c>
      <c r="J38" s="100">
        <f t="shared" si="6"/>
        <v>0</v>
      </c>
      <c r="K38" s="100">
        <f t="shared" si="6"/>
        <v>0</v>
      </c>
      <c r="L38" s="100">
        <f t="shared" si="6"/>
        <v>0</v>
      </c>
      <c r="M38" s="100">
        <f t="shared" si="6"/>
        <v>0</v>
      </c>
      <c r="N38" s="100">
        <f t="shared" si="6"/>
        <v>0</v>
      </c>
      <c r="O38" s="100">
        <f>O147</f>
        <v>2800</v>
      </c>
      <c r="Q38" s="103"/>
    </row>
    <row r="39" spans="1:17" s="102" customFormat="1" ht="18" customHeight="1">
      <c r="A39" s="216"/>
      <c r="B39" s="201" t="s">
        <v>291</v>
      </c>
      <c r="C39" s="201"/>
      <c r="D39" s="137">
        <f>D152</f>
        <v>0</v>
      </c>
      <c r="E39" s="137">
        <f aca="true" t="shared" si="7" ref="E39:O39">E152</f>
        <v>0</v>
      </c>
      <c r="F39" s="217">
        <v>50</v>
      </c>
      <c r="G39" s="137">
        <f t="shared" si="7"/>
        <v>0</v>
      </c>
      <c r="H39" s="137">
        <f t="shared" si="7"/>
        <v>50</v>
      </c>
      <c r="I39" s="137">
        <f t="shared" si="7"/>
        <v>0</v>
      </c>
      <c r="J39" s="137">
        <f t="shared" si="7"/>
        <v>0</v>
      </c>
      <c r="K39" s="137">
        <f t="shared" si="7"/>
        <v>0</v>
      </c>
      <c r="L39" s="137">
        <f t="shared" si="7"/>
        <v>0</v>
      </c>
      <c r="M39" s="137">
        <f t="shared" si="7"/>
        <v>0</v>
      </c>
      <c r="N39" s="137">
        <f t="shared" si="7"/>
        <v>0</v>
      </c>
      <c r="O39" s="137">
        <f t="shared" si="7"/>
        <v>0</v>
      </c>
      <c r="Q39" s="103"/>
    </row>
    <row r="40" spans="1:17" s="91" customFormat="1" ht="18" customHeight="1">
      <c r="A40" s="187">
        <v>2</v>
      </c>
      <c r="B40" s="188" t="s">
        <v>117</v>
      </c>
      <c r="C40" s="188"/>
      <c r="D40" s="218">
        <f>D41</f>
        <v>7000</v>
      </c>
      <c r="E40" s="218">
        <f aca="true" t="shared" si="8" ref="E40:O40">E41</f>
        <v>0</v>
      </c>
      <c r="F40" s="218">
        <f t="shared" si="8"/>
        <v>21000</v>
      </c>
      <c r="G40" s="218">
        <f t="shared" si="8"/>
        <v>0</v>
      </c>
      <c r="H40" s="218">
        <f t="shared" si="8"/>
        <v>21000</v>
      </c>
      <c r="I40" s="218">
        <f t="shared" si="8"/>
        <v>0</v>
      </c>
      <c r="J40" s="218">
        <f t="shared" si="8"/>
        <v>0</v>
      </c>
      <c r="K40" s="218">
        <f t="shared" si="8"/>
        <v>0</v>
      </c>
      <c r="L40" s="218">
        <f t="shared" si="8"/>
        <v>0</v>
      </c>
      <c r="M40" s="218">
        <f t="shared" si="8"/>
        <v>0</v>
      </c>
      <c r="N40" s="218">
        <f t="shared" si="8"/>
        <v>0</v>
      </c>
      <c r="O40" s="218">
        <f t="shared" si="8"/>
        <v>0</v>
      </c>
      <c r="Q40" s="92"/>
    </row>
    <row r="41" spans="1:17" s="91" customFormat="1" ht="18" customHeight="1">
      <c r="A41" s="219" t="s">
        <v>292</v>
      </c>
      <c r="B41" s="220" t="s">
        <v>128</v>
      </c>
      <c r="C41" s="220"/>
      <c r="D41" s="221">
        <f>D155</f>
        <v>7000</v>
      </c>
      <c r="E41" s="221">
        <f aca="true" t="shared" si="9" ref="E41:O41">E155</f>
        <v>0</v>
      </c>
      <c r="F41" s="221">
        <f t="shared" si="9"/>
        <v>21000</v>
      </c>
      <c r="G41" s="221">
        <f t="shared" si="9"/>
        <v>0</v>
      </c>
      <c r="H41" s="221">
        <f t="shared" si="9"/>
        <v>21000</v>
      </c>
      <c r="I41" s="221">
        <f t="shared" si="9"/>
        <v>0</v>
      </c>
      <c r="J41" s="221">
        <f t="shared" si="9"/>
        <v>0</v>
      </c>
      <c r="K41" s="221">
        <f t="shared" si="9"/>
        <v>0</v>
      </c>
      <c r="L41" s="221">
        <f t="shared" si="9"/>
        <v>0</v>
      </c>
      <c r="M41" s="221">
        <f t="shared" si="9"/>
        <v>0</v>
      </c>
      <c r="N41" s="221">
        <f t="shared" si="9"/>
        <v>0</v>
      </c>
      <c r="O41" s="221">
        <f t="shared" si="9"/>
        <v>0</v>
      </c>
      <c r="Q41" s="92"/>
    </row>
    <row r="42" spans="1:17" s="91" customFormat="1" ht="18" customHeight="1">
      <c r="A42" s="222" t="s">
        <v>65</v>
      </c>
      <c r="B42" s="223" t="s">
        <v>119</v>
      </c>
      <c r="C42" s="224"/>
      <c r="D42" s="225">
        <f>D43</f>
        <v>1235</v>
      </c>
      <c r="E42" s="225">
        <f>E43</f>
        <v>820</v>
      </c>
      <c r="F42" s="225">
        <f>F43</f>
        <v>1075</v>
      </c>
      <c r="G42" s="225">
        <f>G43</f>
        <v>20</v>
      </c>
      <c r="H42" s="225">
        <f>H43</f>
        <v>1875</v>
      </c>
      <c r="I42" s="226"/>
      <c r="J42" s="226"/>
      <c r="K42" s="226"/>
      <c r="L42" s="226"/>
      <c r="M42" s="226"/>
      <c r="N42" s="226"/>
      <c r="O42" s="227"/>
      <c r="Q42" s="92"/>
    </row>
    <row r="43" spans="1:17" s="91" customFormat="1" ht="18" customHeight="1">
      <c r="A43" s="228"/>
      <c r="B43" s="194" t="s">
        <v>293</v>
      </c>
      <c r="C43" s="229"/>
      <c r="D43" s="230">
        <f>D44+D45+D46</f>
        <v>1235</v>
      </c>
      <c r="E43" s="230">
        <f>E44+E45+E46</f>
        <v>820</v>
      </c>
      <c r="F43" s="230">
        <f>F44+F45+F46</f>
        <v>1075</v>
      </c>
      <c r="G43" s="230">
        <f>G44+G45+G46</f>
        <v>20</v>
      </c>
      <c r="H43" s="230">
        <f>H44+H45+H46</f>
        <v>1875</v>
      </c>
      <c r="I43" s="231"/>
      <c r="J43" s="231"/>
      <c r="K43" s="231"/>
      <c r="L43" s="231"/>
      <c r="M43" s="231"/>
      <c r="N43" s="231"/>
      <c r="O43" s="232"/>
      <c r="Q43" s="92"/>
    </row>
    <row r="44" spans="1:17" s="91" customFormat="1" ht="18" customHeight="1">
      <c r="A44" s="233" t="s">
        <v>292</v>
      </c>
      <c r="B44" s="97" t="s">
        <v>120</v>
      </c>
      <c r="C44" s="234"/>
      <c r="D44" s="235">
        <v>200</v>
      </c>
      <c r="E44" s="235">
        <f>E162</f>
        <v>260</v>
      </c>
      <c r="F44" s="235">
        <f>F162</f>
        <v>150</v>
      </c>
      <c r="G44" s="235">
        <f>G162</f>
        <v>0</v>
      </c>
      <c r="H44" s="235">
        <f>H162</f>
        <v>410</v>
      </c>
      <c r="I44" s="236"/>
      <c r="J44" s="236"/>
      <c r="K44" s="236"/>
      <c r="L44" s="236"/>
      <c r="M44" s="236"/>
      <c r="N44" s="236"/>
      <c r="O44" s="140"/>
      <c r="Q44" s="92"/>
    </row>
    <row r="45" spans="1:17" s="91" customFormat="1" ht="18" customHeight="1">
      <c r="A45" s="233" t="s">
        <v>292</v>
      </c>
      <c r="B45" s="97" t="s">
        <v>121</v>
      </c>
      <c r="C45" s="234"/>
      <c r="D45" s="235">
        <f>D163+D164+D165</f>
        <v>300</v>
      </c>
      <c r="E45" s="235">
        <f>E163+E164+E165</f>
        <v>0</v>
      </c>
      <c r="F45" s="235">
        <f>F163+F164+F165</f>
        <v>300</v>
      </c>
      <c r="G45" s="235">
        <f>G163+G164+G165</f>
        <v>20</v>
      </c>
      <c r="H45" s="235">
        <f>H163+H164+H165</f>
        <v>280</v>
      </c>
      <c r="I45" s="236"/>
      <c r="J45" s="236"/>
      <c r="K45" s="236"/>
      <c r="L45" s="236"/>
      <c r="M45" s="236"/>
      <c r="N45" s="236"/>
      <c r="O45" s="140"/>
      <c r="Q45" s="92"/>
    </row>
    <row r="46" spans="1:15" ht="18" customHeight="1">
      <c r="A46" s="237" t="s">
        <v>292</v>
      </c>
      <c r="B46" s="238" t="s">
        <v>123</v>
      </c>
      <c r="C46" s="239"/>
      <c r="D46" s="240">
        <f>225+510</f>
        <v>735</v>
      </c>
      <c r="E46" s="240">
        <f>E161</f>
        <v>560</v>
      </c>
      <c r="F46" s="240">
        <f>F161</f>
        <v>625</v>
      </c>
      <c r="G46" s="240">
        <f>G161</f>
        <v>0</v>
      </c>
      <c r="H46" s="240">
        <f>H161</f>
        <v>1185</v>
      </c>
      <c r="I46" s="241"/>
      <c r="J46" s="241"/>
      <c r="K46" s="241"/>
      <c r="L46" s="241"/>
      <c r="M46" s="241"/>
      <c r="N46" s="241"/>
      <c r="O46" s="242"/>
    </row>
    <row r="47" spans="1:17" s="91" customFormat="1" ht="18" customHeight="1">
      <c r="A47" s="243" t="s">
        <v>124</v>
      </c>
      <c r="B47" s="223" t="s">
        <v>125</v>
      </c>
      <c r="C47" s="244"/>
      <c r="D47" s="225">
        <v>9500</v>
      </c>
      <c r="E47" s="225">
        <f aca="true" t="shared" si="10" ref="E47:O47">E166</f>
        <v>0</v>
      </c>
      <c r="F47" s="225">
        <f t="shared" si="10"/>
        <v>5700</v>
      </c>
      <c r="G47" s="225">
        <f t="shared" si="10"/>
        <v>33</v>
      </c>
      <c r="H47" s="225">
        <f t="shared" si="10"/>
        <v>5667</v>
      </c>
      <c r="I47" s="225">
        <f t="shared" si="10"/>
        <v>0</v>
      </c>
      <c r="J47" s="225">
        <f t="shared" si="10"/>
        <v>0</v>
      </c>
      <c r="K47" s="225">
        <f t="shared" si="10"/>
        <v>0</v>
      </c>
      <c r="L47" s="225">
        <f t="shared" si="10"/>
        <v>0</v>
      </c>
      <c r="M47" s="225">
        <f t="shared" si="10"/>
        <v>0</v>
      </c>
      <c r="N47" s="225">
        <f t="shared" si="10"/>
        <v>0</v>
      </c>
      <c r="O47" s="225">
        <f t="shared" si="10"/>
        <v>0</v>
      </c>
      <c r="Q47" s="92"/>
    </row>
    <row r="48" spans="1:17" s="93" customFormat="1" ht="18" customHeight="1">
      <c r="A48" s="245" t="s">
        <v>294</v>
      </c>
      <c r="B48" s="205" t="s">
        <v>295</v>
      </c>
      <c r="C48" s="246"/>
      <c r="D48" s="247">
        <f aca="true" t="shared" si="11" ref="D48:O48">D49+D158+D166</f>
        <v>108786.46921999998</v>
      </c>
      <c r="E48" s="247">
        <f t="shared" si="11"/>
        <v>2068.572862</v>
      </c>
      <c r="F48" s="247">
        <f t="shared" si="11"/>
        <v>113285</v>
      </c>
      <c r="G48" s="247">
        <f t="shared" si="11"/>
        <v>879</v>
      </c>
      <c r="H48" s="247">
        <f t="shared" si="11"/>
        <v>114474.572862</v>
      </c>
      <c r="I48" s="247">
        <f t="shared" si="11"/>
        <v>0</v>
      </c>
      <c r="J48" s="247">
        <f t="shared" si="11"/>
        <v>0</v>
      </c>
      <c r="K48" s="247">
        <f t="shared" si="11"/>
        <v>0</v>
      </c>
      <c r="L48" s="247">
        <f t="shared" si="11"/>
        <v>0</v>
      </c>
      <c r="M48" s="247">
        <f t="shared" si="11"/>
        <v>0</v>
      </c>
      <c r="N48" s="247">
        <f t="shared" si="11"/>
        <v>0</v>
      </c>
      <c r="O48" s="247">
        <f t="shared" si="11"/>
        <v>23300</v>
      </c>
      <c r="Q48" s="94"/>
    </row>
    <row r="49" spans="1:17" s="91" customFormat="1" ht="18" customHeight="1">
      <c r="A49" s="248" t="s">
        <v>60</v>
      </c>
      <c r="B49" s="249" t="s">
        <v>126</v>
      </c>
      <c r="C49" s="249"/>
      <c r="D49" s="247">
        <f aca="true" t="shared" si="12" ref="D49:O49">D50+D155</f>
        <v>98232.25761999999</v>
      </c>
      <c r="E49" s="247">
        <f t="shared" si="12"/>
        <v>1248.572862</v>
      </c>
      <c r="F49" s="247">
        <f>F50+F155</f>
        <v>106510</v>
      </c>
      <c r="G49" s="247">
        <f t="shared" si="12"/>
        <v>826</v>
      </c>
      <c r="H49" s="247">
        <f t="shared" si="12"/>
        <v>106932.572862</v>
      </c>
      <c r="I49" s="247">
        <f t="shared" si="12"/>
        <v>0</v>
      </c>
      <c r="J49" s="247">
        <f t="shared" si="12"/>
        <v>0</v>
      </c>
      <c r="K49" s="247">
        <f t="shared" si="12"/>
        <v>0</v>
      </c>
      <c r="L49" s="247">
        <f t="shared" si="12"/>
        <v>0</v>
      </c>
      <c r="M49" s="247">
        <f t="shared" si="12"/>
        <v>0</v>
      </c>
      <c r="N49" s="247">
        <f t="shared" si="12"/>
        <v>0</v>
      </c>
      <c r="O49" s="247">
        <f t="shared" si="12"/>
        <v>23300</v>
      </c>
      <c r="Q49" s="92"/>
    </row>
    <row r="50" spans="1:17" s="91" customFormat="1" ht="18" customHeight="1">
      <c r="A50" s="250">
        <v>1</v>
      </c>
      <c r="B50" s="251" t="s">
        <v>127</v>
      </c>
      <c r="C50" s="244"/>
      <c r="D50" s="247">
        <f aca="true" t="shared" si="13" ref="D50:O50">D51+D147</f>
        <v>91232.25761999999</v>
      </c>
      <c r="E50" s="247">
        <f t="shared" si="13"/>
        <v>1248.572862</v>
      </c>
      <c r="F50" s="247">
        <f t="shared" si="13"/>
        <v>85510</v>
      </c>
      <c r="G50" s="247">
        <f t="shared" si="13"/>
        <v>826</v>
      </c>
      <c r="H50" s="247">
        <f t="shared" si="13"/>
        <v>85932.572862</v>
      </c>
      <c r="I50" s="247">
        <f t="shared" si="13"/>
        <v>0</v>
      </c>
      <c r="J50" s="247">
        <f t="shared" si="13"/>
        <v>0</v>
      </c>
      <c r="K50" s="247">
        <f t="shared" si="13"/>
        <v>0</v>
      </c>
      <c r="L50" s="247">
        <f t="shared" si="13"/>
        <v>0</v>
      </c>
      <c r="M50" s="247">
        <f t="shared" si="13"/>
        <v>0</v>
      </c>
      <c r="N50" s="247">
        <f t="shared" si="13"/>
        <v>0</v>
      </c>
      <c r="O50" s="247">
        <f t="shared" si="13"/>
        <v>23300</v>
      </c>
      <c r="Q50" s="92"/>
    </row>
    <row r="51" spans="1:17" s="91" customFormat="1" ht="18" customHeight="1">
      <c r="A51" s="252" t="s">
        <v>89</v>
      </c>
      <c r="B51" s="253" t="s">
        <v>128</v>
      </c>
      <c r="C51" s="254"/>
      <c r="D51" s="255">
        <f>D52+D60+D72</f>
        <v>87634.31843399999</v>
      </c>
      <c r="E51" s="255">
        <f aca="true" t="shared" si="14" ref="E51:O51">E52+E60+E72</f>
        <v>606.165534</v>
      </c>
      <c r="F51" s="255">
        <f>F52+F60+F72</f>
        <v>82167</v>
      </c>
      <c r="G51" s="255">
        <f t="shared" si="14"/>
        <v>603</v>
      </c>
      <c r="H51" s="255">
        <f t="shared" si="14"/>
        <v>82170.165534</v>
      </c>
      <c r="I51" s="255">
        <f t="shared" si="14"/>
        <v>0</v>
      </c>
      <c r="J51" s="255">
        <f t="shared" si="14"/>
        <v>0</v>
      </c>
      <c r="K51" s="255">
        <f t="shared" si="14"/>
        <v>0</v>
      </c>
      <c r="L51" s="255">
        <f t="shared" si="14"/>
        <v>0</v>
      </c>
      <c r="M51" s="255">
        <f t="shared" si="14"/>
        <v>0</v>
      </c>
      <c r="N51" s="255">
        <f t="shared" si="14"/>
        <v>0</v>
      </c>
      <c r="O51" s="255">
        <f t="shared" si="14"/>
        <v>20500</v>
      </c>
      <c r="Q51" s="92"/>
    </row>
    <row r="52" spans="1:17" s="91" customFormat="1" ht="18" customHeight="1">
      <c r="A52" s="116" t="s">
        <v>90</v>
      </c>
      <c r="B52" s="117" t="s">
        <v>129</v>
      </c>
      <c r="C52" s="256"/>
      <c r="D52" s="98">
        <f>D53+D54+D55+D56+D57+D58+D59</f>
        <v>6723.469113</v>
      </c>
      <c r="E52" s="98">
        <f aca="true" t="shared" si="15" ref="E52:O52">E53+E54+E55+E56+E57+E58+E59</f>
        <v>0</v>
      </c>
      <c r="F52" s="106">
        <f t="shared" si="15"/>
        <v>6270</v>
      </c>
      <c r="G52" s="98">
        <f t="shared" si="15"/>
        <v>0</v>
      </c>
      <c r="H52" s="98">
        <f t="shared" si="15"/>
        <v>6270</v>
      </c>
      <c r="I52" s="98">
        <f t="shared" si="15"/>
        <v>0</v>
      </c>
      <c r="J52" s="98">
        <f t="shared" si="15"/>
        <v>0</v>
      </c>
      <c r="K52" s="98">
        <f t="shared" si="15"/>
        <v>0</v>
      </c>
      <c r="L52" s="98">
        <f t="shared" si="15"/>
        <v>0</v>
      </c>
      <c r="M52" s="98">
        <f t="shared" si="15"/>
        <v>0</v>
      </c>
      <c r="N52" s="98">
        <f t="shared" si="15"/>
        <v>0</v>
      </c>
      <c r="O52" s="98">
        <f t="shared" si="15"/>
        <v>2300</v>
      </c>
      <c r="Q52" s="92"/>
    </row>
    <row r="53" spans="1:17" s="102" customFormat="1" ht="18" customHeight="1">
      <c r="A53" s="116" t="s">
        <v>130</v>
      </c>
      <c r="B53" s="118" t="s">
        <v>131</v>
      </c>
      <c r="C53" s="97"/>
      <c r="D53" s="257">
        <v>2696.77063</v>
      </c>
      <c r="E53" s="100"/>
      <c r="F53" s="100">
        <v>2700</v>
      </c>
      <c r="G53" s="100"/>
      <c r="H53" s="100">
        <f>E53+F53-G53</f>
        <v>2700</v>
      </c>
      <c r="I53" s="198"/>
      <c r="J53" s="198"/>
      <c r="K53" s="198"/>
      <c r="L53" s="198"/>
      <c r="M53" s="198"/>
      <c r="N53" s="198"/>
      <c r="O53" s="119">
        <v>500</v>
      </c>
      <c r="Q53" s="103"/>
    </row>
    <row r="54" spans="1:17" s="102" customFormat="1" ht="18" customHeight="1">
      <c r="A54" s="116" t="s">
        <v>130</v>
      </c>
      <c r="B54" s="118" t="s">
        <v>132</v>
      </c>
      <c r="C54" s="118"/>
      <c r="D54" s="258">
        <v>724.602212</v>
      </c>
      <c r="E54" s="109"/>
      <c r="F54" s="109">
        <v>725</v>
      </c>
      <c r="G54" s="109"/>
      <c r="H54" s="100">
        <f aca="true" t="shared" si="16" ref="H54:H59">E54+F54-G54</f>
        <v>725</v>
      </c>
      <c r="I54" s="198"/>
      <c r="J54" s="198"/>
      <c r="K54" s="198"/>
      <c r="L54" s="198"/>
      <c r="M54" s="198"/>
      <c r="N54" s="198"/>
      <c r="O54" s="120"/>
      <c r="Q54" s="103"/>
    </row>
    <row r="55" spans="1:17" s="102" customFormat="1" ht="18" customHeight="1">
      <c r="A55" s="116" t="s">
        <v>130</v>
      </c>
      <c r="B55" s="118" t="s">
        <v>133</v>
      </c>
      <c r="C55" s="118"/>
      <c r="D55" s="257">
        <v>1810.08735</v>
      </c>
      <c r="E55" s="100"/>
      <c r="F55" s="100">
        <v>1800</v>
      </c>
      <c r="G55" s="100"/>
      <c r="H55" s="100">
        <f t="shared" si="16"/>
        <v>1800</v>
      </c>
      <c r="I55" s="198"/>
      <c r="J55" s="198"/>
      <c r="K55" s="198"/>
      <c r="L55" s="198"/>
      <c r="M55" s="198"/>
      <c r="N55" s="198"/>
      <c r="O55" s="119">
        <v>200</v>
      </c>
      <c r="Q55" s="103"/>
    </row>
    <row r="56" spans="1:17" s="102" customFormat="1" ht="18" customHeight="1">
      <c r="A56" s="116" t="s">
        <v>130</v>
      </c>
      <c r="B56" s="118" t="s">
        <v>134</v>
      </c>
      <c r="C56" s="118"/>
      <c r="D56" s="257">
        <v>789.922421</v>
      </c>
      <c r="E56" s="100"/>
      <c r="F56" s="100">
        <v>790</v>
      </c>
      <c r="G56" s="100"/>
      <c r="H56" s="100">
        <f t="shared" si="16"/>
        <v>790</v>
      </c>
      <c r="I56" s="198"/>
      <c r="J56" s="198"/>
      <c r="K56" s="198"/>
      <c r="L56" s="198"/>
      <c r="M56" s="198"/>
      <c r="N56" s="198"/>
      <c r="O56" s="119"/>
      <c r="Q56" s="103"/>
    </row>
    <row r="57" spans="1:17" s="102" customFormat="1" ht="18" customHeight="1">
      <c r="A57" s="116" t="s">
        <v>130</v>
      </c>
      <c r="B57" s="118" t="s">
        <v>135</v>
      </c>
      <c r="C57" s="118"/>
      <c r="D57" s="257">
        <v>221.56</v>
      </c>
      <c r="E57" s="100"/>
      <c r="F57" s="100">
        <v>220</v>
      </c>
      <c r="G57" s="100"/>
      <c r="H57" s="100">
        <f t="shared" si="16"/>
        <v>220</v>
      </c>
      <c r="I57" s="259"/>
      <c r="J57" s="259"/>
      <c r="K57" s="259"/>
      <c r="L57" s="259"/>
      <c r="M57" s="259"/>
      <c r="N57" s="259"/>
      <c r="O57" s="119"/>
      <c r="Q57" s="103"/>
    </row>
    <row r="58" spans="1:17" s="102" customFormat="1" ht="18" customHeight="1">
      <c r="A58" s="116" t="s">
        <v>130</v>
      </c>
      <c r="B58" s="118" t="s">
        <v>136</v>
      </c>
      <c r="C58" s="118"/>
      <c r="D58" s="257"/>
      <c r="E58" s="100"/>
      <c r="F58" s="100"/>
      <c r="G58" s="100"/>
      <c r="H58" s="100">
        <f t="shared" si="16"/>
        <v>0</v>
      </c>
      <c r="I58" s="260"/>
      <c r="J58" s="260"/>
      <c r="K58" s="260"/>
      <c r="L58" s="260"/>
      <c r="M58" s="260"/>
      <c r="N58" s="260"/>
      <c r="O58" s="119">
        <v>200</v>
      </c>
      <c r="Q58" s="103"/>
    </row>
    <row r="59" spans="1:17" s="102" customFormat="1" ht="18" customHeight="1">
      <c r="A59" s="116" t="s">
        <v>130</v>
      </c>
      <c r="B59" s="118" t="s">
        <v>296</v>
      </c>
      <c r="C59" s="118"/>
      <c r="D59" s="257">
        <v>480.5265</v>
      </c>
      <c r="E59" s="100"/>
      <c r="F59" s="100">
        <v>35</v>
      </c>
      <c r="G59" s="100"/>
      <c r="H59" s="100">
        <f t="shared" si="16"/>
        <v>35</v>
      </c>
      <c r="I59" s="198"/>
      <c r="J59" s="198"/>
      <c r="K59" s="198"/>
      <c r="L59" s="198"/>
      <c r="M59" s="198"/>
      <c r="N59" s="198"/>
      <c r="O59" s="119">
        <v>1400</v>
      </c>
      <c r="Q59" s="103"/>
    </row>
    <row r="60" spans="1:17" s="91" customFormat="1" ht="18" customHeight="1">
      <c r="A60" s="116" t="s">
        <v>92</v>
      </c>
      <c r="B60" s="117" t="s">
        <v>137</v>
      </c>
      <c r="C60" s="256"/>
      <c r="D60" s="115">
        <f>D61+D62+D63+D64+D65+D66+D67+D70+D71</f>
        <v>53431.16464799999</v>
      </c>
      <c r="E60" s="115">
        <f aca="true" t="shared" si="17" ref="E60:O60">E61+E62+E63+E64+E65+E66+E67++++E70+E71</f>
        <v>0</v>
      </c>
      <c r="F60" s="115">
        <f>F61+F62+F63+F64+F65+F66+F67+F70+F71</f>
        <v>55922</v>
      </c>
      <c r="G60" s="115">
        <f t="shared" si="17"/>
        <v>0</v>
      </c>
      <c r="H60" s="115">
        <f t="shared" si="17"/>
        <v>55922</v>
      </c>
      <c r="I60" s="115">
        <f t="shared" si="17"/>
        <v>0</v>
      </c>
      <c r="J60" s="115">
        <f t="shared" si="17"/>
        <v>0</v>
      </c>
      <c r="K60" s="115">
        <f t="shared" si="17"/>
        <v>0</v>
      </c>
      <c r="L60" s="115">
        <f t="shared" si="17"/>
        <v>0</v>
      </c>
      <c r="M60" s="115">
        <f t="shared" si="17"/>
        <v>0</v>
      </c>
      <c r="N60" s="115">
        <f t="shared" si="17"/>
        <v>0</v>
      </c>
      <c r="O60" s="115">
        <f t="shared" si="17"/>
        <v>7960</v>
      </c>
      <c r="Q60" s="92"/>
    </row>
    <row r="61" spans="1:17" s="91" customFormat="1" ht="18" customHeight="1">
      <c r="A61" s="116" t="s">
        <v>130</v>
      </c>
      <c r="B61" s="118" t="s">
        <v>138</v>
      </c>
      <c r="C61" s="234"/>
      <c r="D61" s="109"/>
      <c r="E61" s="100"/>
      <c r="F61" s="100"/>
      <c r="G61" s="100"/>
      <c r="H61" s="100">
        <f aca="true" t="shared" si="18" ref="H61:H66">E61+F61-G61</f>
        <v>0</v>
      </c>
      <c r="I61" s="198"/>
      <c r="J61" s="198"/>
      <c r="K61" s="198"/>
      <c r="L61" s="198"/>
      <c r="M61" s="198"/>
      <c r="N61" s="198"/>
      <c r="O61" s="119">
        <v>7960</v>
      </c>
      <c r="Q61" s="92"/>
    </row>
    <row r="62" spans="1:17" s="102" customFormat="1" ht="18" customHeight="1">
      <c r="A62" s="116" t="s">
        <v>130</v>
      </c>
      <c r="B62" s="118" t="s">
        <v>139</v>
      </c>
      <c r="C62" s="261"/>
      <c r="D62" s="100">
        <v>23635.971606</v>
      </c>
      <c r="E62" s="109"/>
      <c r="F62" s="109">
        <v>24350</v>
      </c>
      <c r="G62" s="109"/>
      <c r="H62" s="100">
        <f t="shared" si="18"/>
        <v>24350</v>
      </c>
      <c r="I62" s="198"/>
      <c r="J62" s="198"/>
      <c r="K62" s="198"/>
      <c r="L62" s="198"/>
      <c r="M62" s="198"/>
      <c r="N62" s="198"/>
      <c r="O62" s="119"/>
      <c r="Q62" s="103"/>
    </row>
    <row r="63" spans="1:17" s="102" customFormat="1" ht="18" customHeight="1">
      <c r="A63" s="116" t="s">
        <v>130</v>
      </c>
      <c r="B63" s="118" t="s">
        <v>140</v>
      </c>
      <c r="C63" s="261"/>
      <c r="D63" s="100">
        <v>699.545</v>
      </c>
      <c r="E63" s="100"/>
      <c r="F63" s="100">
        <v>750</v>
      </c>
      <c r="G63" s="100"/>
      <c r="H63" s="100">
        <f t="shared" si="18"/>
        <v>750</v>
      </c>
      <c r="I63" s="198"/>
      <c r="J63" s="198"/>
      <c r="K63" s="198"/>
      <c r="L63" s="198"/>
      <c r="M63" s="198"/>
      <c r="N63" s="198"/>
      <c r="O63" s="119"/>
      <c r="Q63" s="103"/>
    </row>
    <row r="64" spans="1:17" s="102" customFormat="1" ht="18" customHeight="1">
      <c r="A64" s="116" t="s">
        <v>130</v>
      </c>
      <c r="B64" s="118" t="s">
        <v>141</v>
      </c>
      <c r="C64" s="261"/>
      <c r="D64" s="100">
        <v>6010.8982</v>
      </c>
      <c r="E64" s="100"/>
      <c r="F64" s="100">
        <v>6300</v>
      </c>
      <c r="G64" s="100"/>
      <c r="H64" s="100">
        <f t="shared" si="18"/>
        <v>6300</v>
      </c>
      <c r="I64" s="198"/>
      <c r="J64" s="198"/>
      <c r="K64" s="198"/>
      <c r="L64" s="198"/>
      <c r="M64" s="198"/>
      <c r="N64" s="198"/>
      <c r="O64" s="119"/>
      <c r="Q64" s="103"/>
    </row>
    <row r="65" spans="1:17" s="102" customFormat="1" ht="18" customHeight="1">
      <c r="A65" s="116" t="s">
        <v>130</v>
      </c>
      <c r="B65" s="118" t="s">
        <v>142</v>
      </c>
      <c r="C65" s="261"/>
      <c r="D65" s="100">
        <v>10767.429573</v>
      </c>
      <c r="E65" s="100"/>
      <c r="F65" s="100">
        <v>11100</v>
      </c>
      <c r="G65" s="100"/>
      <c r="H65" s="100">
        <f t="shared" si="18"/>
        <v>11100</v>
      </c>
      <c r="I65" s="198"/>
      <c r="J65" s="198"/>
      <c r="K65" s="198"/>
      <c r="L65" s="198"/>
      <c r="M65" s="198"/>
      <c r="N65" s="198"/>
      <c r="O65" s="119"/>
      <c r="Q65" s="103"/>
    </row>
    <row r="66" spans="1:17" s="102" customFormat="1" ht="18" customHeight="1">
      <c r="A66" s="116" t="s">
        <v>130</v>
      </c>
      <c r="B66" s="118" t="s">
        <v>297</v>
      </c>
      <c r="C66" s="261"/>
      <c r="D66" s="100">
        <v>441.255</v>
      </c>
      <c r="E66" s="100"/>
      <c r="F66" s="100">
        <v>650</v>
      </c>
      <c r="G66" s="100"/>
      <c r="H66" s="100">
        <f t="shared" si="18"/>
        <v>650</v>
      </c>
      <c r="I66" s="198"/>
      <c r="J66" s="198"/>
      <c r="K66" s="198"/>
      <c r="L66" s="198"/>
      <c r="M66" s="198"/>
      <c r="N66" s="198"/>
      <c r="O66" s="119"/>
      <c r="Q66" s="103"/>
    </row>
    <row r="67" spans="1:17" s="102" customFormat="1" ht="18" customHeight="1">
      <c r="A67" s="116" t="s">
        <v>130</v>
      </c>
      <c r="B67" s="118" t="s">
        <v>143</v>
      </c>
      <c r="C67" s="261"/>
      <c r="D67" s="262">
        <f>SUM(D68:D69)</f>
        <v>7887.251203</v>
      </c>
      <c r="E67" s="262">
        <f aca="true" t="shared" si="19" ref="E67:N67">SUM(E68:E69)</f>
        <v>0</v>
      </c>
      <c r="F67" s="262">
        <f t="shared" si="19"/>
        <v>8150</v>
      </c>
      <c r="G67" s="262">
        <f t="shared" si="19"/>
        <v>0</v>
      </c>
      <c r="H67" s="262">
        <f t="shared" si="19"/>
        <v>8150</v>
      </c>
      <c r="I67" s="262">
        <f t="shared" si="19"/>
        <v>0</v>
      </c>
      <c r="J67" s="262">
        <f t="shared" si="19"/>
        <v>0</v>
      </c>
      <c r="K67" s="262">
        <f t="shared" si="19"/>
        <v>0</v>
      </c>
      <c r="L67" s="262">
        <f t="shared" si="19"/>
        <v>0</v>
      </c>
      <c r="M67" s="262">
        <f t="shared" si="19"/>
        <v>0</v>
      </c>
      <c r="N67" s="262">
        <f t="shared" si="19"/>
        <v>0</v>
      </c>
      <c r="O67" s="262"/>
      <c r="Q67" s="103"/>
    </row>
    <row r="68" spans="1:17" s="128" customFormat="1" ht="18" customHeight="1">
      <c r="A68" s="123"/>
      <c r="B68" s="124" t="s">
        <v>144</v>
      </c>
      <c r="C68" s="263"/>
      <c r="D68" s="125">
        <v>7273.233901</v>
      </c>
      <c r="E68" s="125"/>
      <c r="F68" s="125">
        <v>7500</v>
      </c>
      <c r="G68" s="125"/>
      <c r="H68" s="126">
        <f>E68+F68-G68</f>
        <v>7500</v>
      </c>
      <c r="I68" s="264"/>
      <c r="J68" s="264"/>
      <c r="K68" s="264"/>
      <c r="L68" s="264"/>
      <c r="M68" s="264"/>
      <c r="N68" s="264"/>
      <c r="O68" s="127"/>
      <c r="Q68" s="129"/>
    </row>
    <row r="69" spans="1:17" s="128" customFormat="1" ht="18" customHeight="1">
      <c r="A69" s="123"/>
      <c r="B69" s="124" t="s">
        <v>145</v>
      </c>
      <c r="C69" s="263"/>
      <c r="D69" s="125">
        <v>614.017302</v>
      </c>
      <c r="E69" s="125"/>
      <c r="F69" s="125">
        <v>650</v>
      </c>
      <c r="G69" s="125"/>
      <c r="H69" s="126">
        <f>E69+F69-G69</f>
        <v>650</v>
      </c>
      <c r="I69" s="264"/>
      <c r="J69" s="264"/>
      <c r="K69" s="264"/>
      <c r="L69" s="264"/>
      <c r="M69" s="264"/>
      <c r="N69" s="264"/>
      <c r="O69" s="127"/>
      <c r="Q69" s="129"/>
    </row>
    <row r="70" spans="1:17" s="102" customFormat="1" ht="18" customHeight="1">
      <c r="A70" s="116" t="s">
        <v>130</v>
      </c>
      <c r="B70" s="118" t="s">
        <v>146</v>
      </c>
      <c r="C70" s="261"/>
      <c r="D70" s="109">
        <v>377.056157</v>
      </c>
      <c r="E70" s="109"/>
      <c r="F70" s="109">
        <v>400</v>
      </c>
      <c r="G70" s="109"/>
      <c r="H70" s="109">
        <f>E70+F70-G70</f>
        <v>400</v>
      </c>
      <c r="I70" s="198"/>
      <c r="J70" s="198"/>
      <c r="K70" s="198"/>
      <c r="L70" s="198"/>
      <c r="M70" s="198"/>
      <c r="N70" s="198"/>
      <c r="O70" s="119"/>
      <c r="Q70" s="103"/>
    </row>
    <row r="71" spans="1:17" s="91" customFormat="1" ht="18" customHeight="1">
      <c r="A71" s="116" t="s">
        <v>130</v>
      </c>
      <c r="B71" s="118" t="s">
        <v>147</v>
      </c>
      <c r="C71" s="234"/>
      <c r="D71" s="113">
        <v>3611.757909</v>
      </c>
      <c r="E71" s="113"/>
      <c r="F71" s="113">
        <v>4222</v>
      </c>
      <c r="G71" s="113"/>
      <c r="H71" s="109">
        <f>E71+F71-G71</f>
        <v>4222</v>
      </c>
      <c r="I71" s="259"/>
      <c r="J71" s="259"/>
      <c r="K71" s="259"/>
      <c r="L71" s="259"/>
      <c r="M71" s="259"/>
      <c r="N71" s="259"/>
      <c r="O71" s="119"/>
      <c r="Q71" s="92"/>
    </row>
    <row r="72" spans="1:18" s="91" customFormat="1" ht="18" customHeight="1">
      <c r="A72" s="116" t="s">
        <v>148</v>
      </c>
      <c r="B72" s="117" t="s">
        <v>149</v>
      </c>
      <c r="C72" s="256"/>
      <c r="D72" s="130">
        <f>D73+D75+D76+D80+D84+D87+D91+D92+D93+D97+D98+D99+D128+D129+D130+D146</f>
        <v>27479.684673000003</v>
      </c>
      <c r="E72" s="130">
        <f>E73+E75+E76+E80+E84+E87+E91+E92+E93+E97+E98+E99+E128+E129+E130+E146</f>
        <v>606.165534</v>
      </c>
      <c r="F72" s="130">
        <f>F73+F75+F76+F80+F84+F87+F91+F92+F93+F97+F98+F99+F128+F129+F130+F146+F74</f>
        <v>19975</v>
      </c>
      <c r="G72" s="130">
        <f aca="true" t="shared" si="20" ref="G72:O72">G73+G75+G76+G80+G84+G87+G91+G92+G93+G97+G98+G99+G128+G129+G130+G146+G74</f>
        <v>603</v>
      </c>
      <c r="H72" s="130">
        <f t="shared" si="20"/>
        <v>19978.165534</v>
      </c>
      <c r="I72" s="130">
        <f t="shared" si="20"/>
        <v>0</v>
      </c>
      <c r="J72" s="130">
        <f t="shared" si="20"/>
        <v>0</v>
      </c>
      <c r="K72" s="130">
        <f t="shared" si="20"/>
        <v>0</v>
      </c>
      <c r="L72" s="130">
        <f t="shared" si="20"/>
        <v>0</v>
      </c>
      <c r="M72" s="130">
        <f t="shared" si="20"/>
        <v>0</v>
      </c>
      <c r="N72" s="130">
        <f t="shared" si="20"/>
        <v>0</v>
      </c>
      <c r="O72" s="130">
        <f t="shared" si="20"/>
        <v>10240</v>
      </c>
      <c r="Q72" s="92"/>
      <c r="R72" s="114"/>
    </row>
    <row r="73" spans="1:17" s="132" customFormat="1" ht="18" customHeight="1">
      <c r="A73" s="123" t="s">
        <v>130</v>
      </c>
      <c r="B73" s="131" t="s">
        <v>150</v>
      </c>
      <c r="C73" s="265"/>
      <c r="D73" s="106">
        <v>6302.52785</v>
      </c>
      <c r="E73" s="106"/>
      <c r="F73" s="106">
        <v>2300</v>
      </c>
      <c r="G73" s="106"/>
      <c r="H73" s="106">
        <f>E73+F73-G73</f>
        <v>2300</v>
      </c>
      <c r="I73" s="214"/>
      <c r="J73" s="214"/>
      <c r="K73" s="214"/>
      <c r="L73" s="214"/>
      <c r="M73" s="214"/>
      <c r="N73" s="214"/>
      <c r="O73" s="112">
        <v>4000</v>
      </c>
      <c r="Q73" s="133"/>
    </row>
    <row r="74" spans="1:17" s="132" customFormat="1" ht="18" customHeight="1">
      <c r="A74" s="123" t="s">
        <v>130</v>
      </c>
      <c r="B74" s="131" t="s">
        <v>151</v>
      </c>
      <c r="C74" s="131" t="s">
        <v>151</v>
      </c>
      <c r="D74" s="106">
        <v>323.291</v>
      </c>
      <c r="E74" s="106"/>
      <c r="F74" s="106"/>
      <c r="G74" s="106"/>
      <c r="H74" s="106">
        <f>E74+F74-G74</f>
        <v>0</v>
      </c>
      <c r="I74" s="214"/>
      <c r="J74" s="214"/>
      <c r="K74" s="214"/>
      <c r="L74" s="214"/>
      <c r="M74" s="214"/>
      <c r="N74" s="214"/>
      <c r="O74" s="112">
        <v>320</v>
      </c>
      <c r="Q74" s="133"/>
    </row>
    <row r="75" spans="1:17" s="132" customFormat="1" ht="18" customHeight="1">
      <c r="A75" s="123" t="s">
        <v>130</v>
      </c>
      <c r="B75" s="131" t="s">
        <v>152</v>
      </c>
      <c r="C75" s="265"/>
      <c r="D75" s="106">
        <v>1250.4</v>
      </c>
      <c r="E75" s="106"/>
      <c r="F75" s="106"/>
      <c r="G75" s="106"/>
      <c r="H75" s="106">
        <f>E75+F75-G75</f>
        <v>0</v>
      </c>
      <c r="I75" s="214"/>
      <c r="J75" s="214"/>
      <c r="K75" s="214"/>
      <c r="L75" s="214"/>
      <c r="M75" s="214"/>
      <c r="N75" s="214"/>
      <c r="O75" s="112">
        <v>1250</v>
      </c>
      <c r="Q75" s="133"/>
    </row>
    <row r="76" spans="1:17" s="132" customFormat="1" ht="18" customHeight="1">
      <c r="A76" s="123" t="s">
        <v>130</v>
      </c>
      <c r="B76" s="131" t="s">
        <v>298</v>
      </c>
      <c r="C76" s="265"/>
      <c r="D76" s="106">
        <f>SUM(D77:D79)</f>
        <v>1622.11</v>
      </c>
      <c r="E76" s="106">
        <f aca="true" t="shared" si="21" ref="E76:O76">SUM(E77:E79)</f>
        <v>0</v>
      </c>
      <c r="F76" s="106">
        <f t="shared" si="21"/>
        <v>2085</v>
      </c>
      <c r="G76" s="106">
        <f t="shared" si="21"/>
        <v>0</v>
      </c>
      <c r="H76" s="106">
        <f t="shared" si="21"/>
        <v>2085</v>
      </c>
      <c r="I76" s="106">
        <f t="shared" si="21"/>
        <v>0</v>
      </c>
      <c r="J76" s="106">
        <f t="shared" si="21"/>
        <v>0</v>
      </c>
      <c r="K76" s="106">
        <f t="shared" si="21"/>
        <v>0</v>
      </c>
      <c r="L76" s="106">
        <f t="shared" si="21"/>
        <v>0</v>
      </c>
      <c r="M76" s="106">
        <f t="shared" si="21"/>
        <v>0</v>
      </c>
      <c r="N76" s="106">
        <f t="shared" si="21"/>
        <v>0</v>
      </c>
      <c r="O76" s="106">
        <f t="shared" si="21"/>
        <v>0</v>
      </c>
      <c r="Q76" s="133"/>
    </row>
    <row r="77" spans="1:17" s="102" customFormat="1" ht="18" customHeight="1">
      <c r="A77" s="116"/>
      <c r="B77" s="118" t="s">
        <v>153</v>
      </c>
      <c r="C77" s="261"/>
      <c r="D77" s="109">
        <v>1622.11</v>
      </c>
      <c r="E77" s="109"/>
      <c r="F77" s="109">
        <v>1650</v>
      </c>
      <c r="G77" s="109"/>
      <c r="H77" s="109">
        <f>E77+F77-G77</f>
        <v>1650</v>
      </c>
      <c r="I77" s="259"/>
      <c r="J77" s="259"/>
      <c r="K77" s="259"/>
      <c r="L77" s="259"/>
      <c r="M77" s="259"/>
      <c r="N77" s="259"/>
      <c r="O77" s="110"/>
      <c r="Q77" s="103"/>
    </row>
    <row r="78" spans="1:17" s="102" customFormat="1" ht="18" customHeight="1">
      <c r="A78" s="116"/>
      <c r="B78" s="118" t="s">
        <v>154</v>
      </c>
      <c r="C78" s="261"/>
      <c r="D78" s="109"/>
      <c r="E78" s="109"/>
      <c r="F78" s="109"/>
      <c r="G78" s="109"/>
      <c r="H78" s="109">
        <f>E78+F78-G78</f>
        <v>0</v>
      </c>
      <c r="I78" s="259"/>
      <c r="J78" s="259"/>
      <c r="K78" s="259"/>
      <c r="L78" s="259"/>
      <c r="M78" s="259"/>
      <c r="N78" s="259"/>
      <c r="O78" s="110"/>
      <c r="Q78" s="103"/>
    </row>
    <row r="79" spans="1:17" s="102" customFormat="1" ht="18" customHeight="1">
      <c r="A79" s="116"/>
      <c r="B79" s="118" t="s">
        <v>155</v>
      </c>
      <c r="C79" s="261"/>
      <c r="D79" s="109"/>
      <c r="E79" s="109"/>
      <c r="F79" s="109">
        <v>435</v>
      </c>
      <c r="G79" s="109"/>
      <c r="H79" s="109">
        <f>E79+F79-G79</f>
        <v>435</v>
      </c>
      <c r="I79" s="259"/>
      <c r="J79" s="259"/>
      <c r="K79" s="259"/>
      <c r="L79" s="259"/>
      <c r="M79" s="259"/>
      <c r="N79" s="259"/>
      <c r="O79" s="110"/>
      <c r="Q79" s="103"/>
    </row>
    <row r="80" spans="1:17" s="132" customFormat="1" ht="18" customHeight="1">
      <c r="A80" s="123" t="s">
        <v>130</v>
      </c>
      <c r="B80" s="131" t="s">
        <v>156</v>
      </c>
      <c r="C80" s="265"/>
      <c r="D80" s="105">
        <f>SUM(D81:D83)</f>
        <v>1735.24423</v>
      </c>
      <c r="E80" s="105">
        <f aca="true" t="shared" si="22" ref="E80:O80">SUM(E81:E83)</f>
        <v>0</v>
      </c>
      <c r="F80" s="105">
        <f t="shared" si="22"/>
        <v>1300</v>
      </c>
      <c r="G80" s="105">
        <f t="shared" si="22"/>
        <v>90</v>
      </c>
      <c r="H80" s="105">
        <f t="shared" si="22"/>
        <v>1210</v>
      </c>
      <c r="I80" s="105">
        <f t="shared" si="22"/>
        <v>0</v>
      </c>
      <c r="J80" s="105">
        <f t="shared" si="22"/>
        <v>0</v>
      </c>
      <c r="K80" s="105">
        <f t="shared" si="22"/>
        <v>0</v>
      </c>
      <c r="L80" s="105">
        <f t="shared" si="22"/>
        <v>0</v>
      </c>
      <c r="M80" s="105">
        <f t="shared" si="22"/>
        <v>0</v>
      </c>
      <c r="N80" s="105">
        <f t="shared" si="22"/>
        <v>0</v>
      </c>
      <c r="O80" s="105">
        <f t="shared" si="22"/>
        <v>380</v>
      </c>
      <c r="Q80" s="133"/>
    </row>
    <row r="81" spans="1:17" s="102" customFormat="1" ht="18" customHeight="1">
      <c r="A81" s="134"/>
      <c r="B81" s="118" t="s">
        <v>157</v>
      </c>
      <c r="C81" s="261"/>
      <c r="D81" s="109">
        <v>1455.24423</v>
      </c>
      <c r="E81" s="109"/>
      <c r="F81" s="109">
        <v>1100</v>
      </c>
      <c r="G81" s="109">
        <v>70</v>
      </c>
      <c r="H81" s="109">
        <f>E81+F81-G81</f>
        <v>1030</v>
      </c>
      <c r="I81" s="259"/>
      <c r="J81" s="259"/>
      <c r="K81" s="259"/>
      <c r="L81" s="259"/>
      <c r="M81" s="259"/>
      <c r="N81" s="259"/>
      <c r="O81" s="110">
        <v>300</v>
      </c>
      <c r="Q81" s="103"/>
    </row>
    <row r="82" spans="1:17" s="102" customFormat="1" ht="18" customHeight="1">
      <c r="A82" s="134"/>
      <c r="B82" s="118" t="s">
        <v>158</v>
      </c>
      <c r="C82" s="261"/>
      <c r="D82" s="109"/>
      <c r="E82" s="109"/>
      <c r="F82" s="109"/>
      <c r="G82" s="109"/>
      <c r="H82" s="109">
        <f>E82+F82-G82</f>
        <v>0</v>
      </c>
      <c r="I82" s="259"/>
      <c r="J82" s="259"/>
      <c r="K82" s="259"/>
      <c r="L82" s="259"/>
      <c r="M82" s="259"/>
      <c r="N82" s="259"/>
      <c r="O82" s="110"/>
      <c r="Q82" s="103"/>
    </row>
    <row r="83" spans="1:17" s="102" customFormat="1" ht="18" customHeight="1">
      <c r="A83" s="134"/>
      <c r="B83" s="118" t="s">
        <v>159</v>
      </c>
      <c r="C83" s="261"/>
      <c r="D83" s="109">
        <v>280</v>
      </c>
      <c r="E83" s="109"/>
      <c r="F83" s="109">
        <v>200</v>
      </c>
      <c r="G83" s="109">
        <v>20</v>
      </c>
      <c r="H83" s="109">
        <f>E83+F83-G83</f>
        <v>180</v>
      </c>
      <c r="I83" s="259"/>
      <c r="J83" s="259"/>
      <c r="K83" s="259"/>
      <c r="L83" s="259"/>
      <c r="M83" s="259"/>
      <c r="N83" s="259"/>
      <c r="O83" s="110">
        <v>80</v>
      </c>
      <c r="Q83" s="103"/>
    </row>
    <row r="84" spans="1:17" s="132" customFormat="1" ht="18" customHeight="1">
      <c r="A84" s="123" t="s">
        <v>130</v>
      </c>
      <c r="B84" s="135" t="s">
        <v>160</v>
      </c>
      <c r="C84" s="266"/>
      <c r="D84" s="106">
        <f>SUM(D85:D86)</f>
        <v>1079.4978</v>
      </c>
      <c r="E84" s="106">
        <f aca="true" t="shared" si="23" ref="E84:O84">SUM(E85:E86)</f>
        <v>0</v>
      </c>
      <c r="F84" s="106">
        <f t="shared" si="23"/>
        <v>500</v>
      </c>
      <c r="G84" s="106">
        <f t="shared" si="23"/>
        <v>30</v>
      </c>
      <c r="H84" s="106">
        <f t="shared" si="23"/>
        <v>470</v>
      </c>
      <c r="I84" s="106">
        <f t="shared" si="23"/>
        <v>0</v>
      </c>
      <c r="J84" s="106">
        <f t="shared" si="23"/>
        <v>0</v>
      </c>
      <c r="K84" s="106">
        <f t="shared" si="23"/>
        <v>0</v>
      </c>
      <c r="L84" s="106">
        <f t="shared" si="23"/>
        <v>0</v>
      </c>
      <c r="M84" s="106">
        <f t="shared" si="23"/>
        <v>0</v>
      </c>
      <c r="N84" s="106">
        <f t="shared" si="23"/>
        <v>0</v>
      </c>
      <c r="O84" s="106">
        <f t="shared" si="23"/>
        <v>300</v>
      </c>
      <c r="Q84" s="133"/>
    </row>
    <row r="85" spans="1:17" s="102" customFormat="1" ht="18" customHeight="1">
      <c r="A85" s="116"/>
      <c r="B85" s="97" t="s">
        <v>161</v>
      </c>
      <c r="C85" s="234"/>
      <c r="D85" s="109">
        <v>526.917</v>
      </c>
      <c r="E85" s="109"/>
      <c r="F85" s="109">
        <v>500</v>
      </c>
      <c r="G85" s="109">
        <v>30</v>
      </c>
      <c r="H85" s="109">
        <f>E85+F85-G85</f>
        <v>470</v>
      </c>
      <c r="I85" s="259"/>
      <c r="J85" s="259"/>
      <c r="K85" s="259"/>
      <c r="L85" s="259"/>
      <c r="M85" s="259"/>
      <c r="N85" s="259"/>
      <c r="O85" s="110"/>
      <c r="Q85" s="103"/>
    </row>
    <row r="86" spans="1:17" s="102" customFormat="1" ht="18" customHeight="1">
      <c r="A86" s="116"/>
      <c r="B86" s="97" t="s">
        <v>162</v>
      </c>
      <c r="C86" s="234"/>
      <c r="D86" s="109">
        <v>552.5808</v>
      </c>
      <c r="E86" s="109"/>
      <c r="F86" s="109"/>
      <c r="G86" s="109"/>
      <c r="H86" s="109">
        <f>E86+F86-G86</f>
        <v>0</v>
      </c>
      <c r="I86" s="259"/>
      <c r="J86" s="259"/>
      <c r="K86" s="259"/>
      <c r="L86" s="259"/>
      <c r="M86" s="259"/>
      <c r="N86" s="259"/>
      <c r="O86" s="110">
        <v>300</v>
      </c>
      <c r="Q86" s="103"/>
    </row>
    <row r="87" spans="1:17" s="132" customFormat="1" ht="18" customHeight="1">
      <c r="A87" s="123" t="s">
        <v>130</v>
      </c>
      <c r="B87" s="135" t="s">
        <v>163</v>
      </c>
      <c r="C87" s="266"/>
      <c r="D87" s="106">
        <f>SUM(D88:D90)</f>
        <v>327.942006</v>
      </c>
      <c r="E87" s="106">
        <f aca="true" t="shared" si="24" ref="E87:O87">SUM(E88:E90)</f>
        <v>0</v>
      </c>
      <c r="F87" s="106">
        <f t="shared" si="24"/>
        <v>350</v>
      </c>
      <c r="G87" s="106">
        <f t="shared" si="24"/>
        <v>30</v>
      </c>
      <c r="H87" s="106">
        <f t="shared" si="24"/>
        <v>320</v>
      </c>
      <c r="I87" s="106">
        <f t="shared" si="24"/>
        <v>0</v>
      </c>
      <c r="J87" s="106">
        <f t="shared" si="24"/>
        <v>0</v>
      </c>
      <c r="K87" s="106">
        <f t="shared" si="24"/>
        <v>0</v>
      </c>
      <c r="L87" s="106">
        <f t="shared" si="24"/>
        <v>0</v>
      </c>
      <c r="M87" s="106">
        <f t="shared" si="24"/>
        <v>0</v>
      </c>
      <c r="N87" s="106">
        <f t="shared" si="24"/>
        <v>0</v>
      </c>
      <c r="O87" s="106">
        <f t="shared" si="24"/>
        <v>0</v>
      </c>
      <c r="Q87" s="133"/>
    </row>
    <row r="88" spans="1:17" s="102" customFormat="1" ht="18" customHeight="1">
      <c r="A88" s="136"/>
      <c r="B88" s="97" t="s">
        <v>164</v>
      </c>
      <c r="C88" s="234"/>
      <c r="D88" s="109">
        <v>215.425006</v>
      </c>
      <c r="E88" s="109"/>
      <c r="F88" s="109">
        <v>220</v>
      </c>
      <c r="G88" s="109">
        <v>20</v>
      </c>
      <c r="H88" s="109">
        <f>E88+F88-G88</f>
        <v>200</v>
      </c>
      <c r="I88" s="259"/>
      <c r="J88" s="259"/>
      <c r="K88" s="259"/>
      <c r="L88" s="259"/>
      <c r="M88" s="259"/>
      <c r="N88" s="259"/>
      <c r="O88" s="110"/>
      <c r="Q88" s="103"/>
    </row>
    <row r="89" spans="1:17" s="102" customFormat="1" ht="18" customHeight="1">
      <c r="A89" s="136"/>
      <c r="B89" s="97" t="s">
        <v>165</v>
      </c>
      <c r="C89" s="234"/>
      <c r="D89" s="267">
        <v>112.517</v>
      </c>
      <c r="E89" s="109"/>
      <c r="F89" s="109">
        <v>130</v>
      </c>
      <c r="G89" s="109">
        <v>10</v>
      </c>
      <c r="H89" s="109">
        <f>E89+F89-G89</f>
        <v>120</v>
      </c>
      <c r="I89" s="259"/>
      <c r="J89" s="259"/>
      <c r="K89" s="259"/>
      <c r="L89" s="259"/>
      <c r="M89" s="259"/>
      <c r="N89" s="259"/>
      <c r="O89" s="110"/>
      <c r="Q89" s="103"/>
    </row>
    <row r="90" spans="1:17" s="102" customFormat="1" ht="18" customHeight="1">
      <c r="A90" s="136"/>
      <c r="B90" s="97" t="s">
        <v>166</v>
      </c>
      <c r="C90" s="234"/>
      <c r="D90" s="109"/>
      <c r="E90" s="109"/>
      <c r="F90" s="109"/>
      <c r="G90" s="109"/>
      <c r="H90" s="109">
        <f>E90+F90-G90</f>
        <v>0</v>
      </c>
      <c r="I90" s="259"/>
      <c r="J90" s="259"/>
      <c r="K90" s="259"/>
      <c r="L90" s="259"/>
      <c r="M90" s="259"/>
      <c r="N90" s="259"/>
      <c r="O90" s="110"/>
      <c r="Q90" s="103"/>
    </row>
    <row r="91" spans="1:17" s="132" customFormat="1" ht="18" customHeight="1">
      <c r="A91" s="123" t="s">
        <v>130</v>
      </c>
      <c r="B91" s="138" t="s">
        <v>167</v>
      </c>
      <c r="C91" s="268"/>
      <c r="D91" s="269">
        <v>113.6</v>
      </c>
      <c r="E91" s="106"/>
      <c r="F91" s="106">
        <v>150</v>
      </c>
      <c r="G91" s="106">
        <v>10</v>
      </c>
      <c r="H91" s="106">
        <f>E91+F91-G91</f>
        <v>140</v>
      </c>
      <c r="I91" s="214"/>
      <c r="J91" s="214"/>
      <c r="K91" s="214"/>
      <c r="L91" s="214"/>
      <c r="M91" s="214"/>
      <c r="N91" s="214"/>
      <c r="O91" s="112"/>
      <c r="Q91" s="133"/>
    </row>
    <row r="92" spans="1:17" s="132" customFormat="1" ht="18" customHeight="1">
      <c r="A92" s="123" t="s">
        <v>130</v>
      </c>
      <c r="B92" s="138" t="s">
        <v>168</v>
      </c>
      <c r="C92" s="268"/>
      <c r="D92" s="106"/>
      <c r="E92" s="106"/>
      <c r="F92" s="106"/>
      <c r="G92" s="106"/>
      <c r="H92" s="106">
        <f>E92+F92-G92</f>
        <v>0</v>
      </c>
      <c r="I92" s="214"/>
      <c r="J92" s="214"/>
      <c r="K92" s="214"/>
      <c r="L92" s="214"/>
      <c r="M92" s="214"/>
      <c r="N92" s="214"/>
      <c r="O92" s="112"/>
      <c r="Q92" s="133"/>
    </row>
    <row r="93" spans="1:17" s="132" customFormat="1" ht="18" customHeight="1">
      <c r="A93" s="123" t="s">
        <v>130</v>
      </c>
      <c r="B93" s="138" t="s">
        <v>169</v>
      </c>
      <c r="C93" s="268"/>
      <c r="D93" s="106">
        <f>SUM(D94:D96)</f>
        <v>2495.7943</v>
      </c>
      <c r="E93" s="106">
        <f aca="true" t="shared" si="25" ref="E93:N93">SUM(E94:E96)</f>
        <v>0</v>
      </c>
      <c r="F93" s="106">
        <f t="shared" si="25"/>
        <v>1700</v>
      </c>
      <c r="G93" s="106">
        <f t="shared" si="25"/>
        <v>80</v>
      </c>
      <c r="H93" s="106">
        <f t="shared" si="25"/>
        <v>1620</v>
      </c>
      <c r="I93" s="106">
        <f t="shared" si="25"/>
        <v>0</v>
      </c>
      <c r="J93" s="106">
        <f t="shared" si="25"/>
        <v>0</v>
      </c>
      <c r="K93" s="106">
        <f t="shared" si="25"/>
        <v>0</v>
      </c>
      <c r="L93" s="106">
        <f t="shared" si="25"/>
        <v>0</v>
      </c>
      <c r="M93" s="106">
        <f t="shared" si="25"/>
        <v>0</v>
      </c>
      <c r="N93" s="106">
        <f t="shared" si="25"/>
        <v>0</v>
      </c>
      <c r="O93" s="106">
        <f>SUM(O94:O96)</f>
        <v>800</v>
      </c>
      <c r="Q93" s="133"/>
    </row>
    <row r="94" spans="1:17" s="102" customFormat="1" ht="18" customHeight="1">
      <c r="A94" s="136"/>
      <c r="B94" s="107" t="s">
        <v>299</v>
      </c>
      <c r="C94" s="261"/>
      <c r="D94" s="109">
        <v>505</v>
      </c>
      <c r="E94" s="109"/>
      <c r="F94" s="109">
        <v>500</v>
      </c>
      <c r="G94" s="109"/>
      <c r="H94" s="109">
        <f>E94+F94-G94</f>
        <v>500</v>
      </c>
      <c r="I94" s="259"/>
      <c r="J94" s="259"/>
      <c r="K94" s="259"/>
      <c r="L94" s="259"/>
      <c r="M94" s="259"/>
      <c r="N94" s="259"/>
      <c r="O94" s="110"/>
      <c r="Q94" s="103"/>
    </row>
    <row r="95" spans="1:17" s="102" customFormat="1" ht="18" customHeight="1">
      <c r="A95" s="136"/>
      <c r="B95" s="107" t="s">
        <v>300</v>
      </c>
      <c r="C95" s="270"/>
      <c r="D95" s="109"/>
      <c r="E95" s="109"/>
      <c r="F95" s="109"/>
      <c r="G95" s="109"/>
      <c r="H95" s="109">
        <f>E95+F95-G95</f>
        <v>0</v>
      </c>
      <c r="I95" s="259"/>
      <c r="J95" s="259"/>
      <c r="K95" s="259"/>
      <c r="L95" s="259"/>
      <c r="M95" s="259"/>
      <c r="N95" s="259"/>
      <c r="O95" s="110"/>
      <c r="Q95" s="103"/>
    </row>
    <row r="96" spans="1:17" s="102" customFormat="1" ht="18" customHeight="1">
      <c r="A96" s="136"/>
      <c r="B96" s="107" t="s">
        <v>170</v>
      </c>
      <c r="C96" s="270"/>
      <c r="D96" s="109">
        <v>1990.7943</v>
      </c>
      <c r="E96" s="109"/>
      <c r="F96" s="109">
        <v>1200</v>
      </c>
      <c r="G96" s="109">
        <v>80</v>
      </c>
      <c r="H96" s="109">
        <f>E96+F96-G96</f>
        <v>1120</v>
      </c>
      <c r="I96" s="259"/>
      <c r="J96" s="259"/>
      <c r="K96" s="259"/>
      <c r="L96" s="259"/>
      <c r="M96" s="259"/>
      <c r="N96" s="259"/>
      <c r="O96" s="110">
        <v>800</v>
      </c>
      <c r="P96" s="132"/>
      <c r="Q96" s="103"/>
    </row>
    <row r="97" spans="1:17" s="132" customFormat="1" ht="18" customHeight="1">
      <c r="A97" s="123" t="s">
        <v>130</v>
      </c>
      <c r="B97" s="138" t="s">
        <v>171</v>
      </c>
      <c r="C97" s="265"/>
      <c r="D97" s="271">
        <v>63.639</v>
      </c>
      <c r="E97" s="106"/>
      <c r="F97" s="106">
        <v>200</v>
      </c>
      <c r="G97" s="106">
        <v>20</v>
      </c>
      <c r="H97" s="106">
        <f>E97+F97-G97</f>
        <v>180</v>
      </c>
      <c r="I97" s="214"/>
      <c r="J97" s="214"/>
      <c r="K97" s="214"/>
      <c r="L97" s="214"/>
      <c r="M97" s="214"/>
      <c r="N97" s="214"/>
      <c r="O97" s="112"/>
      <c r="Q97" s="133"/>
    </row>
    <row r="98" spans="1:17" s="132" customFormat="1" ht="18" customHeight="1">
      <c r="A98" s="123" t="s">
        <v>130</v>
      </c>
      <c r="B98" s="138" t="s">
        <v>172</v>
      </c>
      <c r="C98" s="265"/>
      <c r="D98" s="106">
        <v>164.4242</v>
      </c>
      <c r="E98" s="106"/>
      <c r="F98" s="106">
        <v>200</v>
      </c>
      <c r="G98" s="106">
        <v>20</v>
      </c>
      <c r="H98" s="106">
        <f>E98+F98-G98</f>
        <v>180</v>
      </c>
      <c r="I98" s="214"/>
      <c r="J98" s="214"/>
      <c r="K98" s="214"/>
      <c r="L98" s="214"/>
      <c r="M98" s="214"/>
      <c r="N98" s="214"/>
      <c r="O98" s="112"/>
      <c r="Q98" s="133"/>
    </row>
    <row r="99" spans="1:17" s="132" customFormat="1" ht="18" customHeight="1">
      <c r="A99" s="123" t="s">
        <v>130</v>
      </c>
      <c r="B99" s="138" t="s">
        <v>173</v>
      </c>
      <c r="C99" s="268"/>
      <c r="D99" s="115">
        <f>D100+D113+D114+D115+D120+D121+D122+D123+D124+D125+D126+D127</f>
        <v>5871.024375000001</v>
      </c>
      <c r="E99" s="115">
        <f aca="true" t="shared" si="26" ref="E99:O99">E100+E113+E114+E115+E120+E121+E122+E123+E124+E125+E126+E127</f>
        <v>606.165534</v>
      </c>
      <c r="F99" s="115">
        <f>F100+F113+F114+F115+F120+F121+F122+F123+F124+F125+F126+F127</f>
        <v>6672</v>
      </c>
      <c r="G99" s="115">
        <f t="shared" si="26"/>
        <v>190</v>
      </c>
      <c r="H99" s="115">
        <f t="shared" si="26"/>
        <v>7088.165534</v>
      </c>
      <c r="I99" s="115">
        <f t="shared" si="26"/>
        <v>0</v>
      </c>
      <c r="J99" s="115">
        <f t="shared" si="26"/>
        <v>0</v>
      </c>
      <c r="K99" s="115">
        <f t="shared" si="26"/>
        <v>0</v>
      </c>
      <c r="L99" s="115">
        <f t="shared" si="26"/>
        <v>0</v>
      </c>
      <c r="M99" s="115">
        <f t="shared" si="26"/>
        <v>0</v>
      </c>
      <c r="N99" s="115">
        <f t="shared" si="26"/>
        <v>0</v>
      </c>
      <c r="O99" s="115">
        <f t="shared" si="26"/>
        <v>1600</v>
      </c>
      <c r="Q99" s="133"/>
    </row>
    <row r="100" spans="1:17" s="102" customFormat="1" ht="18" customHeight="1">
      <c r="A100" s="116"/>
      <c r="B100" s="107" t="s">
        <v>174</v>
      </c>
      <c r="C100" s="107"/>
      <c r="D100" s="108">
        <f>SUM(D101:D112)</f>
        <v>696.4937749999999</v>
      </c>
      <c r="E100" s="108">
        <f aca="true" t="shared" si="27" ref="E100:O100">SUM(E101:E112)</f>
        <v>0</v>
      </c>
      <c r="F100" s="108">
        <f>SUM(F101:F112)</f>
        <v>360</v>
      </c>
      <c r="G100" s="108">
        <f t="shared" si="27"/>
        <v>0</v>
      </c>
      <c r="H100" s="108">
        <f t="shared" si="27"/>
        <v>360</v>
      </c>
      <c r="I100" s="108">
        <f t="shared" si="27"/>
        <v>0</v>
      </c>
      <c r="J100" s="108">
        <f t="shared" si="27"/>
        <v>0</v>
      </c>
      <c r="K100" s="108">
        <f t="shared" si="27"/>
        <v>0</v>
      </c>
      <c r="L100" s="108">
        <f t="shared" si="27"/>
        <v>0</v>
      </c>
      <c r="M100" s="108">
        <f t="shared" si="27"/>
        <v>0</v>
      </c>
      <c r="N100" s="108">
        <f t="shared" si="27"/>
        <v>0</v>
      </c>
      <c r="O100" s="108">
        <f t="shared" si="27"/>
        <v>0</v>
      </c>
      <c r="Q100" s="103"/>
    </row>
    <row r="101" spans="1:17" s="128" customFormat="1" ht="18" customHeight="1">
      <c r="A101" s="123"/>
      <c r="B101" s="141" t="s">
        <v>301</v>
      </c>
      <c r="C101" s="272"/>
      <c r="D101" s="273">
        <v>536.581875</v>
      </c>
      <c r="E101" s="125"/>
      <c r="F101" s="125">
        <f>F31</f>
        <v>240</v>
      </c>
      <c r="G101" s="125"/>
      <c r="H101" s="125">
        <f>E101+F101-G101</f>
        <v>240</v>
      </c>
      <c r="I101" s="274"/>
      <c r="J101" s="274"/>
      <c r="K101" s="274"/>
      <c r="L101" s="274"/>
      <c r="M101" s="274"/>
      <c r="N101" s="274"/>
      <c r="O101" s="142"/>
      <c r="Q101" s="129"/>
    </row>
    <row r="102" spans="1:17" s="128" customFormat="1" ht="21" customHeight="1">
      <c r="A102" s="123"/>
      <c r="B102" s="143" t="s">
        <v>302</v>
      </c>
      <c r="C102" s="144"/>
      <c r="D102" s="273">
        <v>50</v>
      </c>
      <c r="E102" s="125"/>
      <c r="F102" s="125"/>
      <c r="G102" s="125"/>
      <c r="H102" s="125">
        <f aca="true" t="shared" si="28" ref="H102:H112">E102+F102-G102</f>
        <v>0</v>
      </c>
      <c r="I102" s="274"/>
      <c r="J102" s="274"/>
      <c r="K102" s="274"/>
      <c r="L102" s="274"/>
      <c r="M102" s="274"/>
      <c r="N102" s="274"/>
      <c r="O102" s="142"/>
      <c r="Q102" s="129"/>
    </row>
    <row r="103" spans="1:17" s="128" customFormat="1" ht="18" customHeight="1">
      <c r="A103" s="123"/>
      <c r="B103" s="141" t="s">
        <v>303</v>
      </c>
      <c r="C103" s="272"/>
      <c r="D103" s="273">
        <v>30</v>
      </c>
      <c r="E103" s="125"/>
      <c r="F103" s="125"/>
      <c r="G103" s="125"/>
      <c r="H103" s="125">
        <f t="shared" si="28"/>
        <v>0</v>
      </c>
      <c r="I103" s="274"/>
      <c r="J103" s="274"/>
      <c r="K103" s="274"/>
      <c r="L103" s="274"/>
      <c r="M103" s="274"/>
      <c r="N103" s="274"/>
      <c r="O103" s="142"/>
      <c r="Q103" s="129"/>
    </row>
    <row r="104" spans="1:17" s="128" customFormat="1" ht="18" customHeight="1">
      <c r="A104" s="123"/>
      <c r="B104" s="141" t="s">
        <v>175</v>
      </c>
      <c r="C104" s="141"/>
      <c r="D104" s="273"/>
      <c r="E104" s="125"/>
      <c r="F104" s="125"/>
      <c r="G104" s="125"/>
      <c r="H104" s="125">
        <f t="shared" si="28"/>
        <v>0</v>
      </c>
      <c r="I104" s="274"/>
      <c r="J104" s="274"/>
      <c r="K104" s="274"/>
      <c r="L104" s="274"/>
      <c r="M104" s="274"/>
      <c r="N104" s="274"/>
      <c r="O104" s="142"/>
      <c r="Q104" s="129"/>
    </row>
    <row r="105" spans="1:17" s="128" customFormat="1" ht="18" customHeight="1">
      <c r="A105" s="123"/>
      <c r="B105" s="141" t="s">
        <v>176</v>
      </c>
      <c r="C105" s="141"/>
      <c r="D105" s="273">
        <v>79.9119</v>
      </c>
      <c r="E105" s="125"/>
      <c r="F105" s="125"/>
      <c r="G105" s="125"/>
      <c r="H105" s="125">
        <f t="shared" si="28"/>
        <v>0</v>
      </c>
      <c r="I105" s="274"/>
      <c r="J105" s="274"/>
      <c r="K105" s="274"/>
      <c r="L105" s="274"/>
      <c r="M105" s="274"/>
      <c r="N105" s="274"/>
      <c r="O105" s="142"/>
      <c r="Q105" s="129"/>
    </row>
    <row r="106" spans="1:17" s="128" customFormat="1" ht="18" customHeight="1">
      <c r="A106" s="123"/>
      <c r="B106" s="141" t="s">
        <v>304</v>
      </c>
      <c r="C106" s="141"/>
      <c r="D106" s="273"/>
      <c r="E106" s="125"/>
      <c r="F106" s="125">
        <f>F30</f>
        <v>120</v>
      </c>
      <c r="G106" s="125"/>
      <c r="H106" s="125">
        <f t="shared" si="28"/>
        <v>120</v>
      </c>
      <c r="I106" s="274"/>
      <c r="J106" s="274"/>
      <c r="K106" s="274"/>
      <c r="L106" s="274"/>
      <c r="M106" s="274"/>
      <c r="N106" s="274"/>
      <c r="O106" s="142"/>
      <c r="Q106" s="129"/>
    </row>
    <row r="107" spans="1:17" s="128" customFormat="1" ht="18" customHeight="1">
      <c r="A107" s="123"/>
      <c r="B107" s="141" t="s">
        <v>177</v>
      </c>
      <c r="C107" s="141"/>
      <c r="D107" s="273"/>
      <c r="E107" s="125"/>
      <c r="F107" s="125"/>
      <c r="G107" s="125"/>
      <c r="H107" s="125">
        <f t="shared" si="28"/>
        <v>0</v>
      </c>
      <c r="I107" s="274"/>
      <c r="J107" s="274"/>
      <c r="K107" s="274"/>
      <c r="L107" s="274"/>
      <c r="M107" s="274"/>
      <c r="N107" s="274"/>
      <c r="O107" s="142"/>
      <c r="Q107" s="129"/>
    </row>
    <row r="108" spans="1:17" s="128" customFormat="1" ht="18" customHeight="1">
      <c r="A108" s="123"/>
      <c r="B108" s="124" t="s">
        <v>178</v>
      </c>
      <c r="C108" s="144"/>
      <c r="D108" s="273"/>
      <c r="E108" s="125"/>
      <c r="F108" s="125"/>
      <c r="G108" s="125"/>
      <c r="H108" s="125">
        <f t="shared" si="28"/>
        <v>0</v>
      </c>
      <c r="I108" s="274"/>
      <c r="J108" s="274"/>
      <c r="K108" s="274"/>
      <c r="L108" s="274"/>
      <c r="M108" s="274"/>
      <c r="N108" s="274"/>
      <c r="O108" s="142"/>
      <c r="Q108" s="129"/>
    </row>
    <row r="109" spans="1:17" s="128" customFormat="1" ht="18" customHeight="1">
      <c r="A109" s="123"/>
      <c r="B109" s="124" t="s">
        <v>179</v>
      </c>
      <c r="C109" s="144"/>
      <c r="D109" s="145"/>
      <c r="E109" s="125"/>
      <c r="F109" s="125"/>
      <c r="G109" s="125"/>
      <c r="H109" s="125">
        <f t="shared" si="28"/>
        <v>0</v>
      </c>
      <c r="I109" s="274"/>
      <c r="J109" s="274"/>
      <c r="K109" s="274"/>
      <c r="L109" s="274"/>
      <c r="M109" s="274"/>
      <c r="N109" s="274"/>
      <c r="O109" s="142"/>
      <c r="Q109" s="129"/>
    </row>
    <row r="110" spans="1:17" s="128" customFormat="1" ht="18" customHeight="1">
      <c r="A110" s="123"/>
      <c r="B110" s="124" t="s">
        <v>180</v>
      </c>
      <c r="C110" s="144"/>
      <c r="D110" s="145"/>
      <c r="E110" s="125"/>
      <c r="F110" s="125"/>
      <c r="G110" s="125"/>
      <c r="H110" s="125">
        <f t="shared" si="28"/>
        <v>0</v>
      </c>
      <c r="I110" s="274"/>
      <c r="J110" s="274"/>
      <c r="K110" s="274"/>
      <c r="L110" s="274"/>
      <c r="M110" s="274"/>
      <c r="N110" s="274"/>
      <c r="O110" s="142"/>
      <c r="Q110" s="129"/>
    </row>
    <row r="111" spans="1:17" s="128" customFormat="1" ht="18" customHeight="1">
      <c r="A111" s="123"/>
      <c r="B111" s="124" t="s">
        <v>181</v>
      </c>
      <c r="C111" s="144"/>
      <c r="D111" s="145"/>
      <c r="E111" s="125"/>
      <c r="F111" s="125"/>
      <c r="G111" s="125"/>
      <c r="H111" s="125">
        <f t="shared" si="28"/>
        <v>0</v>
      </c>
      <c r="I111" s="274"/>
      <c r="J111" s="274"/>
      <c r="K111" s="274"/>
      <c r="L111" s="274"/>
      <c r="M111" s="274"/>
      <c r="N111" s="274"/>
      <c r="O111" s="142"/>
      <c r="Q111" s="129"/>
    </row>
    <row r="112" spans="1:17" s="128" customFormat="1" ht="18" customHeight="1">
      <c r="A112" s="123"/>
      <c r="B112" s="124" t="s">
        <v>182</v>
      </c>
      <c r="C112" s="144"/>
      <c r="D112" s="145"/>
      <c r="E112" s="125"/>
      <c r="F112" s="125"/>
      <c r="G112" s="125"/>
      <c r="H112" s="125">
        <f t="shared" si="28"/>
        <v>0</v>
      </c>
      <c r="I112" s="274"/>
      <c r="J112" s="274"/>
      <c r="K112" s="274"/>
      <c r="L112" s="274"/>
      <c r="M112" s="274"/>
      <c r="N112" s="274"/>
      <c r="O112" s="142"/>
      <c r="Q112" s="129"/>
    </row>
    <row r="113" spans="1:17" s="280" customFormat="1" ht="18" customHeight="1">
      <c r="A113" s="275"/>
      <c r="B113" s="276" t="s">
        <v>183</v>
      </c>
      <c r="C113" s="277"/>
      <c r="D113" s="258">
        <v>14.1</v>
      </c>
      <c r="E113" s="258"/>
      <c r="F113" s="258"/>
      <c r="G113" s="258"/>
      <c r="H113" s="258">
        <f>E113+F113-G113</f>
        <v>0</v>
      </c>
      <c r="I113" s="278"/>
      <c r="J113" s="278"/>
      <c r="K113" s="278"/>
      <c r="L113" s="278"/>
      <c r="M113" s="278"/>
      <c r="N113" s="278"/>
      <c r="O113" s="279"/>
      <c r="Q113" s="281"/>
    </row>
    <row r="114" spans="1:17" s="280" customFormat="1" ht="18" customHeight="1">
      <c r="A114" s="275"/>
      <c r="B114" s="276" t="s">
        <v>184</v>
      </c>
      <c r="C114" s="277"/>
      <c r="D114" s="258">
        <v>92</v>
      </c>
      <c r="E114" s="258"/>
      <c r="F114" s="258"/>
      <c r="G114" s="258"/>
      <c r="H114" s="258">
        <f>E114+F114-G114</f>
        <v>0</v>
      </c>
      <c r="I114" s="278"/>
      <c r="J114" s="278"/>
      <c r="K114" s="278"/>
      <c r="L114" s="278"/>
      <c r="M114" s="278"/>
      <c r="N114" s="278"/>
      <c r="O114" s="279"/>
      <c r="Q114" s="281"/>
    </row>
    <row r="115" spans="1:17" s="280" customFormat="1" ht="18" customHeight="1">
      <c r="A115" s="275"/>
      <c r="B115" s="277" t="s">
        <v>185</v>
      </c>
      <c r="C115" s="276"/>
      <c r="D115" s="258">
        <f>SUM(D116:D119)</f>
        <v>1668.845</v>
      </c>
      <c r="E115" s="258">
        <f>SUM(E116:E119)</f>
        <v>606.165534</v>
      </c>
      <c r="F115" s="258">
        <f>SUM(F116:F119)</f>
        <v>1280</v>
      </c>
      <c r="G115" s="258">
        <f>SUM(G116:G119)</f>
        <v>0</v>
      </c>
      <c r="H115" s="258">
        <f>SUM(H116:H119)</f>
        <v>1886.165534</v>
      </c>
      <c r="I115" s="278"/>
      <c r="J115" s="278"/>
      <c r="K115" s="278"/>
      <c r="L115" s="278"/>
      <c r="M115" s="278"/>
      <c r="N115" s="278"/>
      <c r="O115" s="279"/>
      <c r="Q115" s="281"/>
    </row>
    <row r="116" spans="1:17" s="286" customFormat="1" ht="18" customHeight="1">
      <c r="A116" s="282"/>
      <c r="B116" s="283" t="s">
        <v>186</v>
      </c>
      <c r="C116" s="283"/>
      <c r="D116" s="273">
        <v>958.845</v>
      </c>
      <c r="E116" s="273"/>
      <c r="F116" s="273"/>
      <c r="G116" s="273"/>
      <c r="H116" s="273">
        <f>E116+F116-G116</f>
        <v>0</v>
      </c>
      <c r="I116" s="284"/>
      <c r="J116" s="284"/>
      <c r="K116" s="284"/>
      <c r="L116" s="284"/>
      <c r="M116" s="284"/>
      <c r="N116" s="284"/>
      <c r="O116" s="285"/>
      <c r="Q116" s="287"/>
    </row>
    <row r="117" spans="1:17" s="286" customFormat="1" ht="18" customHeight="1">
      <c r="A117" s="282"/>
      <c r="B117" s="283" t="s">
        <v>305</v>
      </c>
      <c r="C117" s="283"/>
      <c r="D117" s="273">
        <v>143</v>
      </c>
      <c r="E117" s="273"/>
      <c r="F117" s="273"/>
      <c r="G117" s="273"/>
      <c r="H117" s="273">
        <f>E117+F117-G117</f>
        <v>0</v>
      </c>
      <c r="I117" s="284"/>
      <c r="J117" s="284"/>
      <c r="K117" s="284"/>
      <c r="L117" s="284"/>
      <c r="M117" s="284"/>
      <c r="N117" s="284"/>
      <c r="O117" s="285"/>
      <c r="Q117" s="287"/>
    </row>
    <row r="118" spans="1:17" s="286" customFormat="1" ht="18" customHeight="1">
      <c r="A118" s="282"/>
      <c r="B118" s="283" t="s">
        <v>306</v>
      </c>
      <c r="C118" s="283"/>
      <c r="D118" s="273"/>
      <c r="E118" s="273"/>
      <c r="F118" s="273">
        <f>F29</f>
        <v>1280</v>
      </c>
      <c r="G118" s="273"/>
      <c r="H118" s="273">
        <f>E118+F118-G118</f>
        <v>1280</v>
      </c>
      <c r="I118" s="284"/>
      <c r="J118" s="284"/>
      <c r="K118" s="284"/>
      <c r="L118" s="284"/>
      <c r="M118" s="284"/>
      <c r="N118" s="284"/>
      <c r="O118" s="285"/>
      <c r="Q118" s="287"/>
    </row>
    <row r="119" spans="1:17" s="286" customFormat="1" ht="18" customHeight="1">
      <c r="A119" s="282"/>
      <c r="B119" s="283" t="s">
        <v>187</v>
      </c>
      <c r="C119" s="288"/>
      <c r="D119" s="273">
        <v>567</v>
      </c>
      <c r="E119" s="273">
        <v>606.165534</v>
      </c>
      <c r="F119" s="273"/>
      <c r="G119" s="273"/>
      <c r="H119" s="273">
        <f>E119+F119-G119</f>
        <v>606.165534</v>
      </c>
      <c r="I119" s="284"/>
      <c r="J119" s="284"/>
      <c r="K119" s="284"/>
      <c r="L119" s="284"/>
      <c r="M119" s="284"/>
      <c r="N119" s="284"/>
      <c r="O119" s="285"/>
      <c r="Q119" s="287"/>
    </row>
    <row r="120" spans="1:17" s="280" customFormat="1" ht="18" customHeight="1">
      <c r="A120" s="289"/>
      <c r="B120" s="276" t="s">
        <v>307</v>
      </c>
      <c r="C120" s="276"/>
      <c r="D120" s="258">
        <v>651.784</v>
      </c>
      <c r="E120" s="258"/>
      <c r="F120" s="258">
        <v>1960</v>
      </c>
      <c r="G120" s="258"/>
      <c r="H120" s="258">
        <f aca="true" t="shared" si="29" ref="H120:H126">E120+F120-G120</f>
        <v>1960</v>
      </c>
      <c r="I120" s="278"/>
      <c r="J120" s="278"/>
      <c r="K120" s="278"/>
      <c r="L120" s="278"/>
      <c r="M120" s="278"/>
      <c r="N120" s="278"/>
      <c r="O120" s="290"/>
      <c r="Q120" s="281"/>
    </row>
    <row r="121" spans="1:17" s="280" customFormat="1" ht="18" customHeight="1">
      <c r="A121" s="289"/>
      <c r="B121" s="276" t="s">
        <v>188</v>
      </c>
      <c r="C121" s="276"/>
      <c r="D121" s="258">
        <v>2316.6386</v>
      </c>
      <c r="E121" s="258"/>
      <c r="F121" s="258">
        <v>2400</v>
      </c>
      <c r="G121" s="258">
        <v>160</v>
      </c>
      <c r="H121" s="258">
        <f t="shared" si="29"/>
        <v>2240</v>
      </c>
      <c r="I121" s="278"/>
      <c r="J121" s="278"/>
      <c r="K121" s="278"/>
      <c r="L121" s="278"/>
      <c r="M121" s="278"/>
      <c r="N121" s="278"/>
      <c r="O121" s="290"/>
      <c r="Q121" s="281"/>
    </row>
    <row r="122" spans="1:17" s="280" customFormat="1" ht="18" customHeight="1">
      <c r="A122" s="289"/>
      <c r="B122" s="276" t="s">
        <v>189</v>
      </c>
      <c r="C122" s="276"/>
      <c r="D122" s="258">
        <v>376.045</v>
      </c>
      <c r="E122" s="258"/>
      <c r="F122" s="258">
        <v>400</v>
      </c>
      <c r="G122" s="258">
        <v>30</v>
      </c>
      <c r="H122" s="258">
        <f t="shared" si="29"/>
        <v>370</v>
      </c>
      <c r="I122" s="278"/>
      <c r="J122" s="278"/>
      <c r="K122" s="278"/>
      <c r="L122" s="278"/>
      <c r="M122" s="278"/>
      <c r="N122" s="278"/>
      <c r="O122" s="290"/>
      <c r="Q122" s="281"/>
    </row>
    <row r="123" spans="1:17" s="280" customFormat="1" ht="18" customHeight="1">
      <c r="A123" s="289"/>
      <c r="B123" s="277" t="s">
        <v>308</v>
      </c>
      <c r="C123" s="277"/>
      <c r="D123" s="258"/>
      <c r="E123" s="258"/>
      <c r="F123" s="258">
        <v>100</v>
      </c>
      <c r="G123" s="258"/>
      <c r="H123" s="258">
        <f t="shared" si="29"/>
        <v>100</v>
      </c>
      <c r="I123" s="278"/>
      <c r="J123" s="278"/>
      <c r="K123" s="278"/>
      <c r="L123" s="278"/>
      <c r="M123" s="278"/>
      <c r="N123" s="278"/>
      <c r="O123" s="290">
        <v>100</v>
      </c>
      <c r="Q123" s="281"/>
    </row>
    <row r="124" spans="1:17" s="280" customFormat="1" ht="18" customHeight="1" hidden="1">
      <c r="A124" s="289"/>
      <c r="B124" s="277" t="s">
        <v>190</v>
      </c>
      <c r="C124" s="277"/>
      <c r="D124" s="258"/>
      <c r="E124" s="258"/>
      <c r="F124" s="258"/>
      <c r="G124" s="258"/>
      <c r="H124" s="258">
        <f t="shared" si="29"/>
        <v>0</v>
      </c>
      <c r="I124" s="278"/>
      <c r="J124" s="278"/>
      <c r="K124" s="278"/>
      <c r="L124" s="278"/>
      <c r="M124" s="278"/>
      <c r="N124" s="278"/>
      <c r="O124" s="290"/>
      <c r="Q124" s="281"/>
    </row>
    <row r="125" spans="1:17" s="280" customFormat="1" ht="18" customHeight="1">
      <c r="A125" s="289"/>
      <c r="B125" s="276" t="s">
        <v>191</v>
      </c>
      <c r="C125" s="277"/>
      <c r="D125" s="258">
        <v>43.116</v>
      </c>
      <c r="E125" s="258"/>
      <c r="F125" s="258">
        <f>F28</f>
        <v>172</v>
      </c>
      <c r="G125" s="258"/>
      <c r="H125" s="258">
        <f t="shared" si="29"/>
        <v>172</v>
      </c>
      <c r="I125" s="278"/>
      <c r="J125" s="278"/>
      <c r="K125" s="278"/>
      <c r="L125" s="278"/>
      <c r="M125" s="278"/>
      <c r="N125" s="278"/>
      <c r="O125" s="290"/>
      <c r="Q125" s="281"/>
    </row>
    <row r="126" spans="1:17" s="280" customFormat="1" ht="21.75" customHeight="1" hidden="1">
      <c r="A126" s="289"/>
      <c r="B126" s="291" t="s">
        <v>192</v>
      </c>
      <c r="C126" s="277"/>
      <c r="D126" s="258"/>
      <c r="E126" s="258"/>
      <c r="F126" s="258"/>
      <c r="G126" s="258"/>
      <c r="H126" s="258">
        <f t="shared" si="29"/>
        <v>0</v>
      </c>
      <c r="I126" s="278"/>
      <c r="J126" s="278"/>
      <c r="K126" s="278"/>
      <c r="L126" s="278"/>
      <c r="M126" s="278"/>
      <c r="N126" s="278"/>
      <c r="O126" s="290"/>
      <c r="Q126" s="281"/>
    </row>
    <row r="127" spans="1:17" s="280" customFormat="1" ht="18" customHeight="1">
      <c r="A127" s="289"/>
      <c r="B127" s="277" t="s">
        <v>309</v>
      </c>
      <c r="C127" s="277"/>
      <c r="D127" s="258">
        <f>75.641-63.639</f>
        <v>12.002000000000002</v>
      </c>
      <c r="E127" s="258"/>
      <c r="F127" s="258"/>
      <c r="G127" s="258"/>
      <c r="H127" s="258">
        <f>E127+F127-G127</f>
        <v>0</v>
      </c>
      <c r="I127" s="278"/>
      <c r="J127" s="278"/>
      <c r="K127" s="278"/>
      <c r="L127" s="278"/>
      <c r="M127" s="278"/>
      <c r="N127" s="278"/>
      <c r="O127" s="290">
        <v>1500</v>
      </c>
      <c r="Q127" s="281"/>
    </row>
    <row r="128" spans="1:17" s="296" customFormat="1" ht="18" customHeight="1">
      <c r="A128" s="282" t="s">
        <v>130</v>
      </c>
      <c r="B128" s="292" t="s">
        <v>193</v>
      </c>
      <c r="C128" s="293"/>
      <c r="D128" s="271">
        <v>91.479</v>
      </c>
      <c r="E128" s="271"/>
      <c r="F128" s="271"/>
      <c r="G128" s="271"/>
      <c r="H128" s="271">
        <f>E128+F128-G128</f>
        <v>0</v>
      </c>
      <c r="I128" s="294"/>
      <c r="J128" s="294"/>
      <c r="K128" s="294"/>
      <c r="L128" s="294"/>
      <c r="M128" s="294"/>
      <c r="N128" s="294"/>
      <c r="O128" s="295"/>
      <c r="Q128" s="297"/>
    </row>
    <row r="129" spans="1:17" s="296" customFormat="1" ht="18" customHeight="1">
      <c r="A129" s="282" t="s">
        <v>130</v>
      </c>
      <c r="B129" s="292" t="s">
        <v>194</v>
      </c>
      <c r="C129" s="293"/>
      <c r="D129" s="271">
        <v>705.079</v>
      </c>
      <c r="E129" s="271"/>
      <c r="F129" s="271">
        <v>800</v>
      </c>
      <c r="G129" s="271">
        <v>53</v>
      </c>
      <c r="H129" s="271">
        <f>E129+F129-G129</f>
        <v>747</v>
      </c>
      <c r="I129" s="294"/>
      <c r="J129" s="294"/>
      <c r="K129" s="294"/>
      <c r="L129" s="294"/>
      <c r="M129" s="294"/>
      <c r="N129" s="294"/>
      <c r="O129" s="295">
        <v>100</v>
      </c>
      <c r="Q129" s="297"/>
    </row>
    <row r="130" spans="1:17" s="296" customFormat="1" ht="18" customHeight="1">
      <c r="A130" s="282" t="s">
        <v>130</v>
      </c>
      <c r="B130" s="298" t="s">
        <v>195</v>
      </c>
      <c r="C130" s="293"/>
      <c r="D130" s="271">
        <f>SUM(D131:D133)</f>
        <v>4034.200537</v>
      </c>
      <c r="E130" s="271">
        <f>SUM(E131:E133)</f>
        <v>0</v>
      </c>
      <c r="F130" s="271">
        <f>SUM(F131:F133)</f>
        <v>3450</v>
      </c>
      <c r="G130" s="271">
        <f>SUM(G131:G133)</f>
        <v>80</v>
      </c>
      <c r="H130" s="271">
        <f>SUM(H131:H133)</f>
        <v>3370</v>
      </c>
      <c r="I130" s="294"/>
      <c r="J130" s="294"/>
      <c r="K130" s="294"/>
      <c r="L130" s="294"/>
      <c r="M130" s="294"/>
      <c r="N130" s="294"/>
      <c r="O130" s="299">
        <f>O131+O132+O133</f>
        <v>1230</v>
      </c>
      <c r="Q130" s="297"/>
    </row>
    <row r="131" spans="1:17" s="280" customFormat="1" ht="18" customHeight="1">
      <c r="A131" s="289"/>
      <c r="B131" s="276" t="s">
        <v>196</v>
      </c>
      <c r="C131" s="276"/>
      <c r="D131" s="258">
        <v>335.572717</v>
      </c>
      <c r="E131" s="258"/>
      <c r="F131" s="258">
        <v>300</v>
      </c>
      <c r="G131" s="258">
        <v>20</v>
      </c>
      <c r="H131" s="258">
        <f>E131+F131-G131</f>
        <v>280</v>
      </c>
      <c r="I131" s="278"/>
      <c r="J131" s="278"/>
      <c r="K131" s="278"/>
      <c r="L131" s="278"/>
      <c r="M131" s="278"/>
      <c r="N131" s="278"/>
      <c r="O131" s="290"/>
      <c r="Q131" s="281"/>
    </row>
    <row r="132" spans="1:17" s="280" customFormat="1" ht="18" customHeight="1">
      <c r="A132" s="289"/>
      <c r="B132" s="276" t="s">
        <v>197</v>
      </c>
      <c r="C132" s="276"/>
      <c r="D132" s="258">
        <v>244.46</v>
      </c>
      <c r="E132" s="258"/>
      <c r="F132" s="258">
        <v>200</v>
      </c>
      <c r="G132" s="258">
        <v>14</v>
      </c>
      <c r="H132" s="258">
        <f>E132+F132-G132</f>
        <v>186</v>
      </c>
      <c r="I132" s="278"/>
      <c r="J132" s="278"/>
      <c r="K132" s="278"/>
      <c r="L132" s="278"/>
      <c r="M132" s="278"/>
      <c r="N132" s="278"/>
      <c r="O132" s="290">
        <v>30</v>
      </c>
      <c r="Q132" s="281"/>
    </row>
    <row r="133" spans="1:17" s="280" customFormat="1" ht="18" customHeight="1">
      <c r="A133" s="289"/>
      <c r="B133" s="276" t="s">
        <v>198</v>
      </c>
      <c r="C133" s="276"/>
      <c r="D133" s="258">
        <f>SUM(D134:D144)</f>
        <v>3454.16782</v>
      </c>
      <c r="E133" s="258">
        <f>SUM(E134:E145)</f>
        <v>0</v>
      </c>
      <c r="F133" s="258">
        <f>SUM(F134:F145)</f>
        <v>2950</v>
      </c>
      <c r="G133" s="258">
        <f>SUM(G134:G145)</f>
        <v>46</v>
      </c>
      <c r="H133" s="258">
        <f>SUM(H134:H145)</f>
        <v>2904</v>
      </c>
      <c r="I133" s="258">
        <f aca="true" t="shared" si="30" ref="I133:O133">SUM(I134:I145)</f>
        <v>0</v>
      </c>
      <c r="J133" s="258">
        <f t="shared" si="30"/>
        <v>0</v>
      </c>
      <c r="K133" s="258">
        <f t="shared" si="30"/>
        <v>0</v>
      </c>
      <c r="L133" s="258">
        <f t="shared" si="30"/>
        <v>0</v>
      </c>
      <c r="M133" s="258">
        <f t="shared" si="30"/>
        <v>0</v>
      </c>
      <c r="N133" s="258">
        <f t="shared" si="30"/>
        <v>0</v>
      </c>
      <c r="O133" s="258">
        <f t="shared" si="30"/>
        <v>1200</v>
      </c>
      <c r="Q133" s="281"/>
    </row>
    <row r="134" spans="1:17" s="286" customFormat="1" ht="18" customHeight="1">
      <c r="A134" s="300"/>
      <c r="B134" s="288" t="s">
        <v>310</v>
      </c>
      <c r="C134" s="288"/>
      <c r="D134" s="273">
        <v>312.203</v>
      </c>
      <c r="E134" s="273"/>
      <c r="F134" s="273"/>
      <c r="G134" s="273"/>
      <c r="H134" s="273">
        <f>E134+F134-G134</f>
        <v>0</v>
      </c>
      <c r="I134" s="284"/>
      <c r="J134" s="284"/>
      <c r="K134" s="284"/>
      <c r="L134" s="284"/>
      <c r="M134" s="284"/>
      <c r="N134" s="284"/>
      <c r="O134" s="301"/>
      <c r="Q134" s="287"/>
    </row>
    <row r="135" spans="1:17" s="286" customFormat="1" ht="18" customHeight="1">
      <c r="A135" s="300"/>
      <c r="B135" s="288" t="s">
        <v>311</v>
      </c>
      <c r="C135" s="288"/>
      <c r="D135" s="273">
        <v>449.34682</v>
      </c>
      <c r="E135" s="273"/>
      <c r="F135" s="273"/>
      <c r="G135" s="273"/>
      <c r="H135" s="273">
        <f aca="true" t="shared" si="31" ref="H135:H144">E135+F135-G135</f>
        <v>0</v>
      </c>
      <c r="I135" s="284"/>
      <c r="J135" s="284"/>
      <c r="K135" s="284"/>
      <c r="L135" s="284"/>
      <c r="M135" s="284"/>
      <c r="N135" s="284"/>
      <c r="O135" s="301"/>
      <c r="Q135" s="287"/>
    </row>
    <row r="136" spans="1:17" s="286" customFormat="1" ht="18" customHeight="1">
      <c r="A136" s="300"/>
      <c r="B136" s="288" t="s">
        <v>312</v>
      </c>
      <c r="C136" s="288"/>
      <c r="D136" s="273"/>
      <c r="E136" s="273"/>
      <c r="F136" s="273"/>
      <c r="G136" s="273"/>
      <c r="H136" s="273">
        <f t="shared" si="31"/>
        <v>0</v>
      </c>
      <c r="I136" s="284"/>
      <c r="J136" s="284"/>
      <c r="K136" s="284"/>
      <c r="L136" s="284"/>
      <c r="M136" s="284"/>
      <c r="N136" s="284"/>
      <c r="O136" s="301"/>
      <c r="Q136" s="287"/>
    </row>
    <row r="137" spans="1:17" s="286" customFormat="1" ht="18" customHeight="1">
      <c r="A137" s="300"/>
      <c r="B137" s="288" t="s">
        <v>313</v>
      </c>
      <c r="C137" s="288"/>
      <c r="D137" s="273"/>
      <c r="E137" s="273"/>
      <c r="F137" s="273">
        <v>500</v>
      </c>
      <c r="G137" s="273"/>
      <c r="H137" s="273">
        <f t="shared" si="31"/>
        <v>500</v>
      </c>
      <c r="I137" s="284"/>
      <c r="J137" s="284"/>
      <c r="K137" s="284"/>
      <c r="L137" s="284"/>
      <c r="M137" s="284"/>
      <c r="N137" s="284"/>
      <c r="O137" s="301">
        <v>600</v>
      </c>
      <c r="Q137" s="287"/>
    </row>
    <row r="138" spans="1:17" s="286" customFormat="1" ht="18" customHeight="1">
      <c r="A138" s="300"/>
      <c r="B138" s="288" t="s">
        <v>314</v>
      </c>
      <c r="C138" s="288"/>
      <c r="D138" s="273">
        <v>117.301</v>
      </c>
      <c r="E138" s="273"/>
      <c r="F138" s="273">
        <v>100</v>
      </c>
      <c r="G138" s="273"/>
      <c r="H138" s="273">
        <f t="shared" si="31"/>
        <v>100</v>
      </c>
      <c r="I138" s="284"/>
      <c r="J138" s="284"/>
      <c r="K138" s="284"/>
      <c r="L138" s="284"/>
      <c r="M138" s="284"/>
      <c r="N138" s="284"/>
      <c r="O138" s="301"/>
      <c r="Q138" s="287"/>
    </row>
    <row r="139" spans="1:17" s="286" customFormat="1" ht="18" customHeight="1">
      <c r="A139" s="300"/>
      <c r="B139" s="288" t="s">
        <v>315</v>
      </c>
      <c r="C139" s="288"/>
      <c r="D139" s="273">
        <v>208.745</v>
      </c>
      <c r="E139" s="273"/>
      <c r="F139" s="273"/>
      <c r="G139" s="273"/>
      <c r="H139" s="273">
        <f t="shared" si="31"/>
        <v>0</v>
      </c>
      <c r="I139" s="284"/>
      <c r="J139" s="284"/>
      <c r="K139" s="284"/>
      <c r="L139" s="284"/>
      <c r="M139" s="284"/>
      <c r="N139" s="284"/>
      <c r="O139" s="301"/>
      <c r="Q139" s="287"/>
    </row>
    <row r="140" spans="1:17" s="286" customFormat="1" ht="18" customHeight="1">
      <c r="A140" s="300"/>
      <c r="B140" s="288" t="s">
        <v>316</v>
      </c>
      <c r="C140" s="288"/>
      <c r="D140" s="273">
        <v>350.148</v>
      </c>
      <c r="E140" s="273"/>
      <c r="F140" s="273">
        <v>350</v>
      </c>
      <c r="G140" s="273"/>
      <c r="H140" s="273">
        <f t="shared" si="31"/>
        <v>350</v>
      </c>
      <c r="I140" s="284"/>
      <c r="J140" s="284"/>
      <c r="K140" s="284"/>
      <c r="L140" s="284"/>
      <c r="M140" s="284"/>
      <c r="N140" s="284"/>
      <c r="O140" s="301"/>
      <c r="Q140" s="287"/>
    </row>
    <row r="141" spans="1:17" s="286" customFormat="1" ht="18" customHeight="1">
      <c r="A141" s="300"/>
      <c r="B141" s="288" t="s">
        <v>317</v>
      </c>
      <c r="C141" s="288"/>
      <c r="D141" s="273"/>
      <c r="E141" s="273"/>
      <c r="F141" s="273">
        <v>1000</v>
      </c>
      <c r="G141" s="273"/>
      <c r="H141" s="273">
        <f t="shared" si="31"/>
        <v>1000</v>
      </c>
      <c r="I141" s="284"/>
      <c r="J141" s="284"/>
      <c r="K141" s="284"/>
      <c r="L141" s="284"/>
      <c r="M141" s="284"/>
      <c r="N141" s="284"/>
      <c r="O141" s="301"/>
      <c r="Q141" s="287"/>
    </row>
    <row r="142" spans="1:17" s="286" customFormat="1" ht="18" customHeight="1">
      <c r="A142" s="300"/>
      <c r="B142" s="288" t="s">
        <v>318</v>
      </c>
      <c r="C142" s="288"/>
      <c r="D142" s="273"/>
      <c r="E142" s="273"/>
      <c r="F142" s="273"/>
      <c r="G142" s="273"/>
      <c r="H142" s="273">
        <f t="shared" si="31"/>
        <v>0</v>
      </c>
      <c r="I142" s="284"/>
      <c r="J142" s="284"/>
      <c r="K142" s="284"/>
      <c r="L142" s="284"/>
      <c r="M142" s="284"/>
      <c r="N142" s="284"/>
      <c r="O142" s="301"/>
      <c r="Q142" s="287"/>
    </row>
    <row r="143" spans="1:17" s="286" customFormat="1" ht="18" customHeight="1">
      <c r="A143" s="300"/>
      <c r="B143" s="288" t="s">
        <v>319</v>
      </c>
      <c r="C143" s="288"/>
      <c r="D143" s="273">
        <v>333.665</v>
      </c>
      <c r="E143" s="273"/>
      <c r="F143" s="273"/>
      <c r="G143" s="273"/>
      <c r="H143" s="273">
        <f t="shared" si="31"/>
        <v>0</v>
      </c>
      <c r="I143" s="284"/>
      <c r="J143" s="284"/>
      <c r="K143" s="284"/>
      <c r="L143" s="284"/>
      <c r="M143" s="284"/>
      <c r="N143" s="284"/>
      <c r="O143" s="301"/>
      <c r="Q143" s="287"/>
    </row>
    <row r="144" spans="1:17" s="286" customFormat="1" ht="18" customHeight="1">
      <c r="A144" s="300"/>
      <c r="B144" s="288" t="s">
        <v>199</v>
      </c>
      <c r="C144" s="288"/>
      <c r="D144" s="273">
        <v>1682.759</v>
      </c>
      <c r="E144" s="273"/>
      <c r="F144" s="273">
        <v>1000</v>
      </c>
      <c r="G144" s="273">
        <v>46</v>
      </c>
      <c r="H144" s="273">
        <f t="shared" si="31"/>
        <v>954</v>
      </c>
      <c r="I144" s="284"/>
      <c r="J144" s="284"/>
      <c r="K144" s="284"/>
      <c r="L144" s="284"/>
      <c r="M144" s="284"/>
      <c r="N144" s="284"/>
      <c r="O144" s="301">
        <v>600</v>
      </c>
      <c r="Q144" s="287"/>
    </row>
    <row r="145" spans="1:17" s="280" customFormat="1" ht="18" customHeight="1" hidden="1">
      <c r="A145" s="289"/>
      <c r="B145" s="276"/>
      <c r="C145" s="302"/>
      <c r="D145" s="258"/>
      <c r="E145" s="258"/>
      <c r="F145" s="258"/>
      <c r="G145" s="258"/>
      <c r="H145" s="258"/>
      <c r="I145" s="278"/>
      <c r="J145" s="278"/>
      <c r="K145" s="278"/>
      <c r="L145" s="278"/>
      <c r="M145" s="278"/>
      <c r="N145" s="278"/>
      <c r="O145" s="290"/>
      <c r="Q145" s="281"/>
    </row>
    <row r="146" spans="1:17" s="296" customFormat="1" ht="18" customHeight="1">
      <c r="A146" s="282" t="s">
        <v>130</v>
      </c>
      <c r="B146" s="292" t="s">
        <v>200</v>
      </c>
      <c r="C146" s="293"/>
      <c r="D146" s="271">
        <f>1672.722375-50</f>
        <v>1622.722375</v>
      </c>
      <c r="E146" s="271"/>
      <c r="F146" s="271">
        <v>268</v>
      </c>
      <c r="G146" s="271"/>
      <c r="H146" s="271">
        <f>E146+F146-G146</f>
        <v>268</v>
      </c>
      <c r="I146" s="294"/>
      <c r="J146" s="294"/>
      <c r="K146" s="294"/>
      <c r="L146" s="294"/>
      <c r="M146" s="294"/>
      <c r="N146" s="294"/>
      <c r="O146" s="295">
        <v>260</v>
      </c>
      <c r="Q146" s="297"/>
    </row>
    <row r="147" spans="1:17" s="305" customFormat="1" ht="18" customHeight="1">
      <c r="A147" s="275" t="s">
        <v>113</v>
      </c>
      <c r="B147" s="303" t="s">
        <v>201</v>
      </c>
      <c r="C147" s="304"/>
      <c r="D147" s="271">
        <f>SUM(D148:D154)</f>
        <v>3597.939186</v>
      </c>
      <c r="E147" s="271">
        <f aca="true" t="shared" si="32" ref="E147:O147">SUM(E148:E154)</f>
        <v>642.407328</v>
      </c>
      <c r="F147" s="271">
        <f>SUM(F148:F154)</f>
        <v>3343</v>
      </c>
      <c r="G147" s="271">
        <f t="shared" si="32"/>
        <v>223</v>
      </c>
      <c r="H147" s="271">
        <f t="shared" si="32"/>
        <v>3762.4073280000002</v>
      </c>
      <c r="I147" s="271">
        <f t="shared" si="32"/>
        <v>0</v>
      </c>
      <c r="J147" s="271">
        <f t="shared" si="32"/>
        <v>0</v>
      </c>
      <c r="K147" s="271">
        <f t="shared" si="32"/>
        <v>0</v>
      </c>
      <c r="L147" s="271">
        <f t="shared" si="32"/>
        <v>0</v>
      </c>
      <c r="M147" s="271">
        <f t="shared" si="32"/>
        <v>0</v>
      </c>
      <c r="N147" s="271">
        <f t="shared" si="32"/>
        <v>0</v>
      </c>
      <c r="O147" s="271">
        <f t="shared" si="32"/>
        <v>2800</v>
      </c>
      <c r="Q147" s="306"/>
    </row>
    <row r="148" spans="1:17" s="280" customFormat="1" ht="18" customHeight="1">
      <c r="A148" s="307" t="s">
        <v>114</v>
      </c>
      <c r="B148" s="277" t="s">
        <v>202</v>
      </c>
      <c r="C148" s="308"/>
      <c r="D148" s="258">
        <v>627.477084</v>
      </c>
      <c r="E148" s="258"/>
      <c r="F148" s="258">
        <v>640</v>
      </c>
      <c r="G148" s="258"/>
      <c r="H148" s="258">
        <f aca="true" t="shared" si="33" ref="H148:H154">E148+F148-G148</f>
        <v>640</v>
      </c>
      <c r="I148" s="278"/>
      <c r="J148" s="278"/>
      <c r="K148" s="278"/>
      <c r="L148" s="278"/>
      <c r="M148" s="278"/>
      <c r="N148" s="278"/>
      <c r="O148" s="290">
        <v>260</v>
      </c>
      <c r="Q148" s="281"/>
    </row>
    <row r="149" spans="1:17" s="280" customFormat="1" ht="18" customHeight="1">
      <c r="A149" s="307" t="s">
        <v>116</v>
      </c>
      <c r="B149" s="276" t="s">
        <v>136</v>
      </c>
      <c r="C149" s="308"/>
      <c r="D149" s="258"/>
      <c r="E149" s="258"/>
      <c r="F149" s="258"/>
      <c r="G149" s="258"/>
      <c r="H149" s="258">
        <f t="shared" si="33"/>
        <v>0</v>
      </c>
      <c r="I149" s="278"/>
      <c r="J149" s="278"/>
      <c r="K149" s="278"/>
      <c r="L149" s="278"/>
      <c r="M149" s="278"/>
      <c r="N149" s="278"/>
      <c r="O149" s="290">
        <v>25</v>
      </c>
      <c r="Q149" s="281"/>
    </row>
    <row r="150" spans="1:17" s="280" customFormat="1" ht="18" customHeight="1">
      <c r="A150" s="307" t="s">
        <v>203</v>
      </c>
      <c r="B150" s="276" t="s">
        <v>204</v>
      </c>
      <c r="C150" s="308"/>
      <c r="D150" s="258">
        <v>99.359677</v>
      </c>
      <c r="E150" s="258"/>
      <c r="F150" s="258">
        <v>140</v>
      </c>
      <c r="G150" s="258"/>
      <c r="H150" s="258">
        <f t="shared" si="33"/>
        <v>140</v>
      </c>
      <c r="I150" s="278"/>
      <c r="J150" s="278"/>
      <c r="K150" s="278"/>
      <c r="L150" s="278"/>
      <c r="M150" s="278"/>
      <c r="N150" s="278"/>
      <c r="O150" s="290">
        <v>80</v>
      </c>
      <c r="Q150" s="281"/>
    </row>
    <row r="151" spans="1:17" s="280" customFormat="1" ht="33.75" customHeight="1">
      <c r="A151" s="307" t="s">
        <v>205</v>
      </c>
      <c r="B151" s="309" t="s">
        <v>206</v>
      </c>
      <c r="C151" s="308"/>
      <c r="D151" s="258">
        <f>2078.8777+92</f>
        <v>2170.8777</v>
      </c>
      <c r="E151" s="258">
        <v>642.407328</v>
      </c>
      <c r="F151" s="258">
        <v>1700</v>
      </c>
      <c r="G151" s="258">
        <v>190</v>
      </c>
      <c r="H151" s="258">
        <f t="shared" si="33"/>
        <v>2152.4073280000002</v>
      </c>
      <c r="I151" s="278"/>
      <c r="J151" s="278"/>
      <c r="K151" s="278"/>
      <c r="L151" s="278"/>
      <c r="M151" s="278"/>
      <c r="N151" s="278"/>
      <c r="O151" s="290">
        <v>1060</v>
      </c>
      <c r="Q151" s="281"/>
    </row>
    <row r="152" spans="1:17" s="280" customFormat="1" ht="18" customHeight="1">
      <c r="A152" s="307" t="s">
        <v>207</v>
      </c>
      <c r="B152" s="277" t="s">
        <v>291</v>
      </c>
      <c r="C152" s="308"/>
      <c r="D152" s="258"/>
      <c r="E152" s="258"/>
      <c r="F152" s="258">
        <f>F39</f>
        <v>50</v>
      </c>
      <c r="G152" s="258"/>
      <c r="H152" s="258">
        <f t="shared" si="33"/>
        <v>50</v>
      </c>
      <c r="I152" s="278"/>
      <c r="J152" s="278"/>
      <c r="K152" s="278"/>
      <c r="L152" s="278"/>
      <c r="M152" s="278"/>
      <c r="N152" s="278"/>
      <c r="O152" s="290"/>
      <c r="Q152" s="281"/>
    </row>
    <row r="153" spans="1:17" s="280" customFormat="1" ht="18" customHeight="1">
      <c r="A153" s="307" t="s">
        <v>208</v>
      </c>
      <c r="B153" s="277" t="s">
        <v>320</v>
      </c>
      <c r="C153" s="308"/>
      <c r="D153" s="258"/>
      <c r="E153" s="258"/>
      <c r="F153" s="258">
        <v>450</v>
      </c>
      <c r="G153" s="258"/>
      <c r="H153" s="258">
        <f t="shared" si="33"/>
        <v>450</v>
      </c>
      <c r="I153" s="278"/>
      <c r="J153" s="278"/>
      <c r="K153" s="278"/>
      <c r="L153" s="278"/>
      <c r="M153" s="278"/>
      <c r="N153" s="278"/>
      <c r="O153" s="290"/>
      <c r="Q153" s="281"/>
    </row>
    <row r="154" spans="1:17" s="280" customFormat="1" ht="18" customHeight="1">
      <c r="A154" s="310" t="s">
        <v>321</v>
      </c>
      <c r="B154" s="311" t="s">
        <v>209</v>
      </c>
      <c r="C154" s="312"/>
      <c r="D154" s="313">
        <v>700.224725</v>
      </c>
      <c r="E154" s="313"/>
      <c r="F154" s="313">
        <v>363</v>
      </c>
      <c r="G154" s="313">
        <v>33</v>
      </c>
      <c r="H154" s="313">
        <f t="shared" si="33"/>
        <v>330</v>
      </c>
      <c r="I154" s="314"/>
      <c r="J154" s="314"/>
      <c r="K154" s="314"/>
      <c r="L154" s="314"/>
      <c r="M154" s="314"/>
      <c r="N154" s="314"/>
      <c r="O154" s="315">
        <v>1375</v>
      </c>
      <c r="Q154" s="281"/>
    </row>
    <row r="155" spans="1:17" s="305" customFormat="1" ht="18" customHeight="1">
      <c r="A155" s="316">
        <v>2</v>
      </c>
      <c r="B155" s="317" t="s">
        <v>210</v>
      </c>
      <c r="C155" s="318"/>
      <c r="D155" s="319">
        <f>SUM(D156:D157)</f>
        <v>7000</v>
      </c>
      <c r="E155" s="319">
        <f aca="true" t="shared" si="34" ref="E155:O155">SUM(E156:E157)</f>
        <v>0</v>
      </c>
      <c r="F155" s="319">
        <f t="shared" si="34"/>
        <v>21000</v>
      </c>
      <c r="G155" s="319">
        <f t="shared" si="34"/>
        <v>0</v>
      </c>
      <c r="H155" s="319">
        <f t="shared" si="34"/>
        <v>21000</v>
      </c>
      <c r="I155" s="319">
        <f t="shared" si="34"/>
        <v>0</v>
      </c>
      <c r="J155" s="319">
        <f t="shared" si="34"/>
        <v>0</v>
      </c>
      <c r="K155" s="319">
        <f t="shared" si="34"/>
        <v>0</v>
      </c>
      <c r="L155" s="319">
        <f t="shared" si="34"/>
        <v>0</v>
      </c>
      <c r="M155" s="319">
        <f t="shared" si="34"/>
        <v>0</v>
      </c>
      <c r="N155" s="319">
        <f t="shared" si="34"/>
        <v>0</v>
      </c>
      <c r="O155" s="319">
        <f t="shared" si="34"/>
        <v>0</v>
      </c>
      <c r="Q155" s="306"/>
    </row>
    <row r="156" spans="1:17" s="280" customFormat="1" ht="18" customHeight="1">
      <c r="A156" s="320" t="s">
        <v>118</v>
      </c>
      <c r="B156" s="321" t="s">
        <v>322</v>
      </c>
      <c r="C156" s="321"/>
      <c r="D156" s="322">
        <v>7000</v>
      </c>
      <c r="E156" s="322"/>
      <c r="F156" s="322">
        <v>14000</v>
      </c>
      <c r="G156" s="322"/>
      <c r="H156" s="322">
        <f>E156+F156-G156</f>
        <v>14000</v>
      </c>
      <c r="I156" s="323"/>
      <c r="J156" s="323"/>
      <c r="K156" s="323"/>
      <c r="L156" s="323"/>
      <c r="M156" s="323"/>
      <c r="N156" s="323"/>
      <c r="O156" s="324"/>
      <c r="Q156" s="281"/>
    </row>
    <row r="157" spans="1:17" s="280" customFormat="1" ht="18" customHeight="1">
      <c r="A157" s="310" t="s">
        <v>225</v>
      </c>
      <c r="B157" s="325" t="s">
        <v>323</v>
      </c>
      <c r="C157" s="325"/>
      <c r="D157" s="313"/>
      <c r="E157" s="313"/>
      <c r="F157" s="313">
        <v>7000</v>
      </c>
      <c r="G157" s="313"/>
      <c r="H157" s="313">
        <f>E157+F157-G157</f>
        <v>7000</v>
      </c>
      <c r="I157" s="314"/>
      <c r="J157" s="314"/>
      <c r="K157" s="314"/>
      <c r="L157" s="314"/>
      <c r="M157" s="314"/>
      <c r="N157" s="314"/>
      <c r="O157" s="315"/>
      <c r="Q157" s="281"/>
    </row>
    <row r="158" spans="1:17" s="305" customFormat="1" ht="18" customHeight="1">
      <c r="A158" s="326" t="s">
        <v>65</v>
      </c>
      <c r="B158" s="327" t="s">
        <v>119</v>
      </c>
      <c r="C158" s="318"/>
      <c r="D158" s="319">
        <f>D159</f>
        <v>1179.5</v>
      </c>
      <c r="E158" s="319">
        <f aca="true" t="shared" si="35" ref="E158:O159">E159</f>
        <v>820</v>
      </c>
      <c r="F158" s="319">
        <f t="shared" si="35"/>
        <v>1075</v>
      </c>
      <c r="G158" s="319">
        <f t="shared" si="35"/>
        <v>20</v>
      </c>
      <c r="H158" s="319">
        <f t="shared" si="35"/>
        <v>1875</v>
      </c>
      <c r="I158" s="319">
        <f t="shared" si="35"/>
        <v>0</v>
      </c>
      <c r="J158" s="319">
        <f t="shared" si="35"/>
        <v>0</v>
      </c>
      <c r="K158" s="319">
        <f t="shared" si="35"/>
        <v>0</v>
      </c>
      <c r="L158" s="319">
        <f t="shared" si="35"/>
        <v>0</v>
      </c>
      <c r="M158" s="319">
        <f t="shared" si="35"/>
        <v>0</v>
      </c>
      <c r="N158" s="319">
        <f t="shared" si="35"/>
        <v>0</v>
      </c>
      <c r="O158" s="319">
        <f t="shared" si="35"/>
        <v>0</v>
      </c>
      <c r="Q158" s="306"/>
    </row>
    <row r="159" spans="1:17" s="305" customFormat="1" ht="18" customHeight="1">
      <c r="A159" s="328">
        <v>1</v>
      </c>
      <c r="B159" s="329" t="s">
        <v>211</v>
      </c>
      <c r="C159" s="329"/>
      <c r="D159" s="330">
        <f>D160</f>
        <v>1179.5</v>
      </c>
      <c r="E159" s="330">
        <f t="shared" si="35"/>
        <v>820</v>
      </c>
      <c r="F159" s="330">
        <f t="shared" si="35"/>
        <v>1075</v>
      </c>
      <c r="G159" s="330">
        <f t="shared" si="35"/>
        <v>20</v>
      </c>
      <c r="H159" s="330">
        <f t="shared" si="35"/>
        <v>1875</v>
      </c>
      <c r="I159" s="330">
        <f t="shared" si="35"/>
        <v>0</v>
      </c>
      <c r="J159" s="330">
        <f t="shared" si="35"/>
        <v>0</v>
      </c>
      <c r="K159" s="330">
        <f t="shared" si="35"/>
        <v>0</v>
      </c>
      <c r="L159" s="330">
        <f t="shared" si="35"/>
        <v>0</v>
      </c>
      <c r="M159" s="330">
        <f t="shared" si="35"/>
        <v>0</v>
      </c>
      <c r="N159" s="330">
        <f t="shared" si="35"/>
        <v>0</v>
      </c>
      <c r="O159" s="330">
        <f t="shared" si="35"/>
        <v>0</v>
      </c>
      <c r="Q159" s="306"/>
    </row>
    <row r="160" spans="1:17" s="305" customFormat="1" ht="18" customHeight="1">
      <c r="A160" s="275" t="s">
        <v>89</v>
      </c>
      <c r="B160" s="303" t="s">
        <v>212</v>
      </c>
      <c r="C160" s="303"/>
      <c r="D160" s="271">
        <f>D161+D162+D163+D164+D165</f>
        <v>1179.5</v>
      </c>
      <c r="E160" s="271">
        <f aca="true" t="shared" si="36" ref="E160:O160">E161+E162+E163+E164+E165</f>
        <v>820</v>
      </c>
      <c r="F160" s="271">
        <f t="shared" si="36"/>
        <v>1075</v>
      </c>
      <c r="G160" s="271">
        <f t="shared" si="36"/>
        <v>20</v>
      </c>
      <c r="H160" s="271">
        <f t="shared" si="36"/>
        <v>1875</v>
      </c>
      <c r="I160" s="271">
        <f t="shared" si="36"/>
        <v>0</v>
      </c>
      <c r="J160" s="271">
        <f t="shared" si="36"/>
        <v>0</v>
      </c>
      <c r="K160" s="271">
        <f t="shared" si="36"/>
        <v>0</v>
      </c>
      <c r="L160" s="271">
        <f t="shared" si="36"/>
        <v>0</v>
      </c>
      <c r="M160" s="271">
        <f t="shared" si="36"/>
        <v>0</v>
      </c>
      <c r="N160" s="271">
        <f t="shared" si="36"/>
        <v>0</v>
      </c>
      <c r="O160" s="271">
        <f t="shared" si="36"/>
        <v>0</v>
      </c>
      <c r="Q160" s="306"/>
    </row>
    <row r="161" spans="1:17" s="305" customFormat="1" ht="18" customHeight="1">
      <c r="A161" s="307" t="s">
        <v>89</v>
      </c>
      <c r="B161" s="277" t="s">
        <v>213</v>
      </c>
      <c r="C161" s="277"/>
      <c r="D161" s="258">
        <f>70+350</f>
        <v>420</v>
      </c>
      <c r="E161" s="258">
        <v>560</v>
      </c>
      <c r="F161" s="258">
        <f>440+185</f>
        <v>625</v>
      </c>
      <c r="G161" s="258"/>
      <c r="H161" s="258">
        <f>E161+F161-G161</f>
        <v>1185</v>
      </c>
      <c r="I161" s="278"/>
      <c r="J161" s="278"/>
      <c r="K161" s="278"/>
      <c r="L161" s="278"/>
      <c r="M161" s="278"/>
      <c r="N161" s="278"/>
      <c r="O161" s="299"/>
      <c r="Q161" s="306"/>
    </row>
    <row r="162" spans="1:17" s="280" customFormat="1" ht="18" customHeight="1">
      <c r="A162" s="307" t="s">
        <v>113</v>
      </c>
      <c r="B162" s="277" t="s">
        <v>120</v>
      </c>
      <c r="C162" s="277"/>
      <c r="D162" s="258">
        <f>369.5+90</f>
        <v>459.5</v>
      </c>
      <c r="E162" s="258">
        <v>260</v>
      </c>
      <c r="F162" s="258">
        <v>150</v>
      </c>
      <c r="G162" s="258"/>
      <c r="H162" s="258">
        <f>E162+F162-G162</f>
        <v>410</v>
      </c>
      <c r="I162" s="278"/>
      <c r="J162" s="278"/>
      <c r="K162" s="278"/>
      <c r="L162" s="278"/>
      <c r="M162" s="278"/>
      <c r="N162" s="278"/>
      <c r="O162" s="331"/>
      <c r="Q162" s="281"/>
    </row>
    <row r="163" spans="1:17" s="280" customFormat="1" ht="18" customHeight="1">
      <c r="A163" s="307" t="s">
        <v>122</v>
      </c>
      <c r="B163" s="277" t="s">
        <v>214</v>
      </c>
      <c r="C163" s="277"/>
      <c r="D163" s="258">
        <f>4.5+48.1128+50.9+57.2+79.2872</f>
        <v>240</v>
      </c>
      <c r="E163" s="258"/>
      <c r="F163" s="258">
        <v>240</v>
      </c>
      <c r="G163" s="258">
        <v>20</v>
      </c>
      <c r="H163" s="258">
        <f>E163+F163-G163</f>
        <v>220</v>
      </c>
      <c r="I163" s="278"/>
      <c r="J163" s="278"/>
      <c r="K163" s="278"/>
      <c r="L163" s="278"/>
      <c r="M163" s="278"/>
      <c r="N163" s="278"/>
      <c r="O163" s="331"/>
      <c r="Q163" s="281"/>
    </row>
    <row r="164" spans="1:17" s="280" customFormat="1" ht="18" customHeight="1">
      <c r="A164" s="307" t="s">
        <v>215</v>
      </c>
      <c r="B164" s="277" t="s">
        <v>216</v>
      </c>
      <c r="C164" s="277"/>
      <c r="D164" s="258"/>
      <c r="E164" s="258"/>
      <c r="F164" s="258"/>
      <c r="G164" s="258"/>
      <c r="H164" s="258">
        <f>E164+F164-G164</f>
        <v>0</v>
      </c>
      <c r="I164" s="278"/>
      <c r="J164" s="278"/>
      <c r="K164" s="278"/>
      <c r="L164" s="278"/>
      <c r="M164" s="278"/>
      <c r="N164" s="278"/>
      <c r="O164" s="331"/>
      <c r="Q164" s="281"/>
    </row>
    <row r="165" spans="1:17" s="280" customFormat="1" ht="18" customHeight="1">
      <c r="A165" s="310" t="s">
        <v>217</v>
      </c>
      <c r="B165" s="325" t="s">
        <v>218</v>
      </c>
      <c r="C165" s="325"/>
      <c r="D165" s="313">
        <v>60</v>
      </c>
      <c r="E165" s="313"/>
      <c r="F165" s="313">
        <v>60</v>
      </c>
      <c r="G165" s="313"/>
      <c r="H165" s="313">
        <f>E165+F165-G165</f>
        <v>60</v>
      </c>
      <c r="I165" s="314"/>
      <c r="J165" s="314"/>
      <c r="K165" s="314"/>
      <c r="L165" s="314"/>
      <c r="M165" s="314"/>
      <c r="N165" s="314"/>
      <c r="O165" s="332"/>
      <c r="Q165" s="281"/>
    </row>
    <row r="166" spans="1:17" s="305" customFormat="1" ht="18" customHeight="1">
      <c r="A166" s="333" t="s">
        <v>124</v>
      </c>
      <c r="B166" s="334" t="s">
        <v>219</v>
      </c>
      <c r="C166" s="318"/>
      <c r="D166" s="335">
        <f>SUM(D167:D192)</f>
        <v>9374.7116</v>
      </c>
      <c r="E166" s="335">
        <f>SUM(E167:E192)</f>
        <v>0</v>
      </c>
      <c r="F166" s="335">
        <f>SUM(F182:F191)</f>
        <v>5700</v>
      </c>
      <c r="G166" s="335">
        <f>SUM(G182:G191)</f>
        <v>33</v>
      </c>
      <c r="H166" s="335">
        <f>SUM(H182:H191)</f>
        <v>5667</v>
      </c>
      <c r="I166" s="336"/>
      <c r="J166" s="336"/>
      <c r="K166" s="336"/>
      <c r="L166" s="336"/>
      <c r="M166" s="336"/>
      <c r="N166" s="336"/>
      <c r="O166" s="337"/>
      <c r="Q166" s="306"/>
    </row>
    <row r="167" spans="1:17" s="280" customFormat="1" ht="31.5" hidden="1">
      <c r="A167" s="338" t="s">
        <v>89</v>
      </c>
      <c r="B167" s="339" t="s">
        <v>220</v>
      </c>
      <c r="C167" s="340"/>
      <c r="D167" s="341">
        <v>200</v>
      </c>
      <c r="E167" s="341"/>
      <c r="F167" s="341"/>
      <c r="G167" s="341"/>
      <c r="H167" s="341">
        <f aca="true" t="shared" si="37" ref="H167:H192">E167+F167-G167</f>
        <v>0</v>
      </c>
      <c r="I167" s="342"/>
      <c r="J167" s="342"/>
      <c r="K167" s="342"/>
      <c r="L167" s="342"/>
      <c r="M167" s="342"/>
      <c r="N167" s="342"/>
      <c r="O167" s="343"/>
      <c r="Q167" s="281"/>
    </row>
    <row r="168" spans="1:17" s="280" customFormat="1" ht="63" hidden="1">
      <c r="A168" s="338" t="s">
        <v>113</v>
      </c>
      <c r="B168" s="339" t="s">
        <v>221</v>
      </c>
      <c r="C168" s="340"/>
      <c r="D168" s="341">
        <v>1471.504</v>
      </c>
      <c r="E168" s="341"/>
      <c r="F168" s="341"/>
      <c r="G168" s="341"/>
      <c r="H168" s="341">
        <f t="shared" si="37"/>
        <v>0</v>
      </c>
      <c r="I168" s="342"/>
      <c r="J168" s="342"/>
      <c r="K168" s="342"/>
      <c r="L168" s="342"/>
      <c r="M168" s="342"/>
      <c r="N168" s="342"/>
      <c r="O168" s="343"/>
      <c r="Q168" s="281"/>
    </row>
    <row r="169" spans="1:17" s="280" customFormat="1" ht="31.5" hidden="1">
      <c r="A169" s="338" t="s">
        <v>122</v>
      </c>
      <c r="B169" s="339" t="s">
        <v>222</v>
      </c>
      <c r="C169" s="340"/>
      <c r="D169" s="341">
        <v>280</v>
      </c>
      <c r="E169" s="341"/>
      <c r="F169" s="341"/>
      <c r="G169" s="341"/>
      <c r="H169" s="341">
        <f t="shared" si="37"/>
        <v>0</v>
      </c>
      <c r="I169" s="342"/>
      <c r="J169" s="342"/>
      <c r="K169" s="342"/>
      <c r="L169" s="342"/>
      <c r="M169" s="342"/>
      <c r="N169" s="342"/>
      <c r="O169" s="343"/>
      <c r="Q169" s="281"/>
    </row>
    <row r="170" spans="1:17" s="280" customFormat="1" ht="31.5" hidden="1">
      <c r="A170" s="338" t="s">
        <v>215</v>
      </c>
      <c r="B170" s="339" t="s">
        <v>223</v>
      </c>
      <c r="C170" s="340"/>
      <c r="D170" s="341">
        <v>719.01214</v>
      </c>
      <c r="E170" s="341"/>
      <c r="F170" s="341"/>
      <c r="G170" s="341"/>
      <c r="H170" s="341">
        <f t="shared" si="37"/>
        <v>0</v>
      </c>
      <c r="I170" s="342"/>
      <c r="J170" s="342"/>
      <c r="K170" s="342"/>
      <c r="L170" s="342"/>
      <c r="M170" s="342"/>
      <c r="N170" s="342"/>
      <c r="O170" s="343"/>
      <c r="Q170" s="281"/>
    </row>
    <row r="171" spans="1:17" s="280" customFormat="1" ht="63" hidden="1">
      <c r="A171" s="338" t="s">
        <v>217</v>
      </c>
      <c r="B171" s="339" t="s">
        <v>224</v>
      </c>
      <c r="C171" s="340"/>
      <c r="D171" s="341">
        <v>400</v>
      </c>
      <c r="E171" s="341"/>
      <c r="F171" s="341"/>
      <c r="G171" s="341"/>
      <c r="H171" s="341">
        <f t="shared" si="37"/>
        <v>0</v>
      </c>
      <c r="I171" s="342"/>
      <c r="J171" s="342"/>
      <c r="K171" s="342"/>
      <c r="L171" s="342"/>
      <c r="M171" s="342"/>
      <c r="N171" s="342"/>
      <c r="O171" s="343"/>
      <c r="Q171" s="281"/>
    </row>
    <row r="172" spans="1:17" s="280" customFormat="1" ht="31.5" hidden="1">
      <c r="A172" s="338" t="s">
        <v>118</v>
      </c>
      <c r="B172" s="339" t="s">
        <v>324</v>
      </c>
      <c r="C172" s="340"/>
      <c r="D172" s="341">
        <v>192.696</v>
      </c>
      <c r="E172" s="341"/>
      <c r="F172" s="341"/>
      <c r="G172" s="341"/>
      <c r="H172" s="341">
        <f t="shared" si="37"/>
        <v>0</v>
      </c>
      <c r="I172" s="342"/>
      <c r="J172" s="342"/>
      <c r="K172" s="342"/>
      <c r="L172" s="342"/>
      <c r="M172" s="342"/>
      <c r="N172" s="342"/>
      <c r="O172" s="343"/>
      <c r="Q172" s="281"/>
    </row>
    <row r="173" spans="1:17" s="280" customFormat="1" ht="18" customHeight="1" hidden="1">
      <c r="A173" s="338" t="s">
        <v>225</v>
      </c>
      <c r="B173" s="339" t="s">
        <v>226</v>
      </c>
      <c r="C173" s="340"/>
      <c r="D173" s="341">
        <v>2602.2692</v>
      </c>
      <c r="E173" s="341"/>
      <c r="F173" s="341"/>
      <c r="G173" s="341"/>
      <c r="H173" s="341">
        <f t="shared" si="37"/>
        <v>0</v>
      </c>
      <c r="I173" s="342"/>
      <c r="J173" s="342"/>
      <c r="K173" s="342"/>
      <c r="L173" s="342"/>
      <c r="M173" s="342"/>
      <c r="N173" s="342"/>
      <c r="O173" s="343"/>
      <c r="Q173" s="281"/>
    </row>
    <row r="174" spans="1:17" s="280" customFormat="1" ht="31.5" hidden="1">
      <c r="A174" s="338" t="s">
        <v>227</v>
      </c>
      <c r="B174" s="339" t="s">
        <v>228</v>
      </c>
      <c r="C174" s="340"/>
      <c r="D174" s="341">
        <v>472.2114</v>
      </c>
      <c r="E174" s="341"/>
      <c r="F174" s="341"/>
      <c r="G174" s="341"/>
      <c r="H174" s="341">
        <f t="shared" si="37"/>
        <v>0</v>
      </c>
      <c r="I174" s="342"/>
      <c r="J174" s="342"/>
      <c r="K174" s="342"/>
      <c r="L174" s="342"/>
      <c r="M174" s="342"/>
      <c r="N174" s="342"/>
      <c r="O174" s="343"/>
      <c r="Q174" s="281"/>
    </row>
    <row r="175" spans="1:17" s="280" customFormat="1" ht="63" hidden="1">
      <c r="A175" s="338" t="s">
        <v>229</v>
      </c>
      <c r="B175" s="339" t="s">
        <v>230</v>
      </c>
      <c r="C175" s="340"/>
      <c r="D175" s="341">
        <v>200</v>
      </c>
      <c r="E175" s="341"/>
      <c r="F175" s="341"/>
      <c r="G175" s="341"/>
      <c r="H175" s="341">
        <f t="shared" si="37"/>
        <v>0</v>
      </c>
      <c r="I175" s="342"/>
      <c r="J175" s="342"/>
      <c r="K175" s="342"/>
      <c r="L175" s="342"/>
      <c r="M175" s="342"/>
      <c r="N175" s="342"/>
      <c r="O175" s="343"/>
      <c r="Q175" s="281"/>
    </row>
    <row r="176" spans="1:17" s="280" customFormat="1" ht="47.25" hidden="1">
      <c r="A176" s="338" t="s">
        <v>231</v>
      </c>
      <c r="B176" s="339" t="s">
        <v>232</v>
      </c>
      <c r="C176" s="340"/>
      <c r="D176" s="341">
        <v>479.84486</v>
      </c>
      <c r="E176" s="341"/>
      <c r="F176" s="341"/>
      <c r="G176" s="341"/>
      <c r="H176" s="341">
        <f t="shared" si="37"/>
        <v>0</v>
      </c>
      <c r="I176" s="342"/>
      <c r="J176" s="342"/>
      <c r="K176" s="342"/>
      <c r="L176" s="342"/>
      <c r="M176" s="342"/>
      <c r="N176" s="342"/>
      <c r="O176" s="343"/>
      <c r="Q176" s="281"/>
    </row>
    <row r="177" spans="1:17" s="102" customFormat="1" ht="31.5" hidden="1">
      <c r="A177" s="344" t="s">
        <v>233</v>
      </c>
      <c r="B177" s="345" t="s">
        <v>234</v>
      </c>
      <c r="C177" s="346"/>
      <c r="D177" s="347">
        <v>595.1</v>
      </c>
      <c r="E177" s="347"/>
      <c r="F177" s="347"/>
      <c r="G177" s="347"/>
      <c r="H177" s="347">
        <f t="shared" si="37"/>
        <v>0</v>
      </c>
      <c r="I177" s="348"/>
      <c r="J177" s="348"/>
      <c r="K177" s="348"/>
      <c r="L177" s="348"/>
      <c r="M177" s="348"/>
      <c r="N177" s="348"/>
      <c r="O177" s="349"/>
      <c r="Q177" s="103"/>
    </row>
    <row r="178" spans="1:17" s="102" customFormat="1" ht="31.5" customHeight="1" hidden="1">
      <c r="A178" s="344" t="s">
        <v>235</v>
      </c>
      <c r="B178" s="345" t="s">
        <v>236</v>
      </c>
      <c r="C178" s="346"/>
      <c r="D178" s="347">
        <v>500</v>
      </c>
      <c r="E178" s="347"/>
      <c r="F178" s="347"/>
      <c r="G178" s="347"/>
      <c r="H178" s="347">
        <f t="shared" si="37"/>
        <v>0</v>
      </c>
      <c r="I178" s="348"/>
      <c r="J178" s="348"/>
      <c r="K178" s="348"/>
      <c r="L178" s="348"/>
      <c r="M178" s="348"/>
      <c r="N178" s="348"/>
      <c r="O178" s="349"/>
      <c r="Q178" s="103"/>
    </row>
    <row r="179" spans="1:17" s="102" customFormat="1" ht="47.25" hidden="1">
      <c r="A179" s="344" t="s">
        <v>237</v>
      </c>
      <c r="B179" s="345" t="s">
        <v>238</v>
      </c>
      <c r="C179" s="346"/>
      <c r="D179" s="347">
        <v>212.074</v>
      </c>
      <c r="E179" s="347"/>
      <c r="F179" s="347"/>
      <c r="G179" s="347"/>
      <c r="H179" s="347">
        <f t="shared" si="37"/>
        <v>0</v>
      </c>
      <c r="I179" s="348"/>
      <c r="J179" s="348"/>
      <c r="K179" s="348"/>
      <c r="L179" s="348"/>
      <c r="M179" s="348"/>
      <c r="N179" s="348"/>
      <c r="O179" s="349"/>
      <c r="Q179" s="103"/>
    </row>
    <row r="180" spans="1:17" s="102" customFormat="1" ht="33" customHeight="1" hidden="1">
      <c r="A180" s="344" t="s">
        <v>239</v>
      </c>
      <c r="B180" s="345" t="s">
        <v>240</v>
      </c>
      <c r="C180" s="346"/>
      <c r="D180" s="347">
        <v>620</v>
      </c>
      <c r="E180" s="347"/>
      <c r="F180" s="347"/>
      <c r="G180" s="347"/>
      <c r="H180" s="347">
        <f t="shared" si="37"/>
        <v>0</v>
      </c>
      <c r="I180" s="348"/>
      <c r="J180" s="348"/>
      <c r="K180" s="348"/>
      <c r="L180" s="348"/>
      <c r="M180" s="348"/>
      <c r="N180" s="348"/>
      <c r="O180" s="349"/>
      <c r="Q180" s="103"/>
    </row>
    <row r="181" spans="1:17" s="102" customFormat="1" ht="36" customHeight="1" hidden="1">
      <c r="A181" s="344" t="s">
        <v>241</v>
      </c>
      <c r="B181" s="345" t="s">
        <v>242</v>
      </c>
      <c r="C181" s="346"/>
      <c r="D181" s="347">
        <v>430</v>
      </c>
      <c r="E181" s="347"/>
      <c r="F181" s="347"/>
      <c r="G181" s="347"/>
      <c r="H181" s="347">
        <f t="shared" si="37"/>
        <v>0</v>
      </c>
      <c r="I181" s="348"/>
      <c r="J181" s="348"/>
      <c r="K181" s="348"/>
      <c r="L181" s="348"/>
      <c r="M181" s="348"/>
      <c r="N181" s="348"/>
      <c r="O181" s="349"/>
      <c r="Q181" s="103"/>
    </row>
    <row r="182" spans="1:17" s="102" customFormat="1" ht="18.75" customHeight="1">
      <c r="A182" s="350" t="s">
        <v>89</v>
      </c>
      <c r="B182" s="351" t="s">
        <v>325</v>
      </c>
      <c r="C182" s="352"/>
      <c r="D182" s="353"/>
      <c r="E182" s="353"/>
      <c r="F182" s="353">
        <v>1200</v>
      </c>
      <c r="G182" s="353"/>
      <c r="H182" s="353">
        <f>E182+F182-G182</f>
        <v>1200</v>
      </c>
      <c r="I182" s="354"/>
      <c r="J182" s="354"/>
      <c r="K182" s="354"/>
      <c r="L182" s="354"/>
      <c r="M182" s="354"/>
      <c r="N182" s="354"/>
      <c r="O182" s="355"/>
      <c r="Q182" s="103"/>
    </row>
    <row r="183" spans="1:17" s="280" customFormat="1" ht="63">
      <c r="A183" s="307" t="s">
        <v>118</v>
      </c>
      <c r="B183" s="309" t="s">
        <v>326</v>
      </c>
      <c r="C183" s="277"/>
      <c r="D183" s="258"/>
      <c r="E183" s="258"/>
      <c r="F183" s="258">
        <v>500</v>
      </c>
      <c r="G183" s="258"/>
      <c r="H183" s="258">
        <f>E183+F183-G183</f>
        <v>500</v>
      </c>
      <c r="I183" s="278"/>
      <c r="J183" s="278"/>
      <c r="K183" s="278"/>
      <c r="L183" s="278"/>
      <c r="M183" s="278"/>
      <c r="N183" s="278"/>
      <c r="O183" s="290"/>
      <c r="Q183" s="281"/>
    </row>
    <row r="184" spans="1:17" s="280" customFormat="1" ht="78.75">
      <c r="A184" s="307" t="s">
        <v>225</v>
      </c>
      <c r="B184" s="309" t="s">
        <v>327</v>
      </c>
      <c r="C184" s="277"/>
      <c r="D184" s="258"/>
      <c r="E184" s="258"/>
      <c r="F184" s="258">
        <v>300</v>
      </c>
      <c r="G184" s="258"/>
      <c r="H184" s="258">
        <f>E184+F184-G184</f>
        <v>300</v>
      </c>
      <c r="I184" s="278"/>
      <c r="J184" s="278"/>
      <c r="K184" s="278"/>
      <c r="L184" s="278"/>
      <c r="M184" s="278"/>
      <c r="N184" s="278"/>
      <c r="O184" s="290"/>
      <c r="Q184" s="281"/>
    </row>
    <row r="185" spans="1:17" s="102" customFormat="1" ht="47.25">
      <c r="A185" s="134" t="s">
        <v>328</v>
      </c>
      <c r="B185" s="146" t="s">
        <v>329</v>
      </c>
      <c r="C185" s="97"/>
      <c r="D185" s="100"/>
      <c r="E185" s="100"/>
      <c r="F185" s="100">
        <v>200</v>
      </c>
      <c r="G185" s="100"/>
      <c r="H185" s="100">
        <f>E185+F185-G185</f>
        <v>200</v>
      </c>
      <c r="I185" s="198"/>
      <c r="J185" s="198"/>
      <c r="K185" s="198"/>
      <c r="L185" s="198"/>
      <c r="M185" s="198"/>
      <c r="N185" s="198"/>
      <c r="O185" s="119"/>
      <c r="Q185" s="103"/>
    </row>
    <row r="186" spans="1:17" s="102" customFormat="1" ht="36" customHeight="1">
      <c r="A186" s="134" t="s">
        <v>227</v>
      </c>
      <c r="B186" s="146" t="s">
        <v>330</v>
      </c>
      <c r="C186" s="97"/>
      <c r="D186" s="100"/>
      <c r="E186" s="100"/>
      <c r="F186" s="100">
        <v>1100</v>
      </c>
      <c r="G186" s="100"/>
      <c r="H186" s="100">
        <f>E186+F186-G186</f>
        <v>1100</v>
      </c>
      <c r="I186" s="198"/>
      <c r="J186" s="198"/>
      <c r="K186" s="198"/>
      <c r="L186" s="198"/>
      <c r="M186" s="198"/>
      <c r="N186" s="198"/>
      <c r="O186" s="119"/>
      <c r="Q186" s="103"/>
    </row>
    <row r="187" spans="1:17" s="361" customFormat="1" ht="47.25">
      <c r="A187" s="356" t="s">
        <v>229</v>
      </c>
      <c r="B187" s="357" t="s">
        <v>331</v>
      </c>
      <c r="C187" s="358"/>
      <c r="D187" s="257"/>
      <c r="E187" s="257"/>
      <c r="F187" s="257">
        <v>500</v>
      </c>
      <c r="G187" s="257"/>
      <c r="H187" s="257">
        <f t="shared" si="37"/>
        <v>500</v>
      </c>
      <c r="I187" s="359"/>
      <c r="J187" s="359"/>
      <c r="K187" s="359"/>
      <c r="L187" s="359"/>
      <c r="M187" s="359"/>
      <c r="N187" s="359"/>
      <c r="O187" s="360"/>
      <c r="Q187" s="362"/>
    </row>
    <row r="188" spans="1:17" s="361" customFormat="1" ht="31.5">
      <c r="A188" s="356" t="s">
        <v>231</v>
      </c>
      <c r="B188" s="357" t="s">
        <v>332</v>
      </c>
      <c r="C188" s="358"/>
      <c r="D188" s="257"/>
      <c r="E188" s="257"/>
      <c r="F188" s="257">
        <v>600</v>
      </c>
      <c r="G188" s="257"/>
      <c r="H188" s="257">
        <f t="shared" si="37"/>
        <v>600</v>
      </c>
      <c r="I188" s="359"/>
      <c r="J188" s="359"/>
      <c r="K188" s="359"/>
      <c r="L188" s="359"/>
      <c r="M188" s="359"/>
      <c r="N188" s="359"/>
      <c r="O188" s="360"/>
      <c r="Q188" s="362"/>
    </row>
    <row r="189" spans="1:17" s="361" customFormat="1" ht="31.5">
      <c r="A189" s="356" t="s">
        <v>333</v>
      </c>
      <c r="B189" s="357" t="s">
        <v>334</v>
      </c>
      <c r="C189" s="358"/>
      <c r="D189" s="257"/>
      <c r="E189" s="257"/>
      <c r="F189" s="257">
        <v>600</v>
      </c>
      <c r="G189" s="257"/>
      <c r="H189" s="257">
        <f t="shared" si="37"/>
        <v>600</v>
      </c>
      <c r="I189" s="359"/>
      <c r="J189" s="359"/>
      <c r="K189" s="359"/>
      <c r="L189" s="359"/>
      <c r="M189" s="359"/>
      <c r="N189" s="359"/>
      <c r="O189" s="360"/>
      <c r="Q189" s="362"/>
    </row>
    <row r="190" spans="1:17" s="361" customFormat="1" ht="31.5">
      <c r="A190" s="356" t="s">
        <v>335</v>
      </c>
      <c r="B190" s="357" t="s">
        <v>336</v>
      </c>
      <c r="C190" s="358"/>
      <c r="D190" s="257"/>
      <c r="E190" s="257"/>
      <c r="F190" s="257">
        <v>500</v>
      </c>
      <c r="G190" s="257"/>
      <c r="H190" s="257">
        <f t="shared" si="37"/>
        <v>500</v>
      </c>
      <c r="I190" s="359"/>
      <c r="J190" s="359"/>
      <c r="K190" s="359"/>
      <c r="L190" s="359"/>
      <c r="M190" s="359"/>
      <c r="N190" s="359"/>
      <c r="O190" s="360"/>
      <c r="Q190" s="362"/>
    </row>
    <row r="191" spans="1:17" s="361" customFormat="1" ht="47.25">
      <c r="A191" s="356" t="s">
        <v>337</v>
      </c>
      <c r="B191" s="357" t="s">
        <v>338</v>
      </c>
      <c r="C191" s="358"/>
      <c r="D191" s="257"/>
      <c r="E191" s="257"/>
      <c r="F191" s="257">
        <v>200</v>
      </c>
      <c r="G191" s="257">
        <v>33</v>
      </c>
      <c r="H191" s="257">
        <f t="shared" si="37"/>
        <v>167</v>
      </c>
      <c r="I191" s="359"/>
      <c r="J191" s="359"/>
      <c r="K191" s="359"/>
      <c r="L191" s="359"/>
      <c r="M191" s="359"/>
      <c r="N191" s="359"/>
      <c r="O191" s="360"/>
      <c r="Q191" s="362"/>
    </row>
    <row r="192" spans="1:17" s="102" customFormat="1" ht="18" customHeight="1">
      <c r="A192" s="363"/>
      <c r="B192" s="364"/>
      <c r="C192" s="365"/>
      <c r="D192" s="366"/>
      <c r="E192" s="366"/>
      <c r="F192" s="366"/>
      <c r="G192" s="366"/>
      <c r="H192" s="366">
        <f t="shared" si="37"/>
        <v>0</v>
      </c>
      <c r="I192" s="367"/>
      <c r="J192" s="367"/>
      <c r="K192" s="367"/>
      <c r="L192" s="367"/>
      <c r="M192" s="367"/>
      <c r="N192" s="367"/>
      <c r="O192" s="368"/>
      <c r="Q192" s="103"/>
    </row>
    <row r="193" spans="1:17" s="102" customFormat="1" ht="27.75" customHeight="1">
      <c r="A193" s="147"/>
      <c r="B193" s="149"/>
      <c r="C193" s="369"/>
      <c r="D193" s="150"/>
      <c r="E193" s="152" t="s">
        <v>339</v>
      </c>
      <c r="F193" s="152"/>
      <c r="G193" s="153"/>
      <c r="H193" s="154"/>
      <c r="I193" s="370"/>
      <c r="J193" s="370"/>
      <c r="K193" s="370"/>
      <c r="L193" s="370"/>
      <c r="M193" s="370"/>
      <c r="N193" s="370"/>
      <c r="O193" s="155"/>
      <c r="Q193" s="103"/>
    </row>
    <row r="194" spans="1:17" s="102" customFormat="1" ht="18" customHeight="1">
      <c r="A194" s="147"/>
      <c r="B194" s="149"/>
      <c r="C194" s="369"/>
      <c r="D194" s="150"/>
      <c r="E194" s="156"/>
      <c r="F194" s="157" t="s">
        <v>340</v>
      </c>
      <c r="H194" s="158"/>
      <c r="I194" s="371"/>
      <c r="J194" s="371"/>
      <c r="K194" s="371"/>
      <c r="L194" s="371"/>
      <c r="M194" s="371"/>
      <c r="N194" s="371"/>
      <c r="O194" s="159"/>
      <c r="Q194" s="103"/>
    </row>
    <row r="195" spans="1:17" s="102" customFormat="1" ht="18" customHeight="1">
      <c r="A195" s="147"/>
      <c r="B195" s="149"/>
      <c r="C195" s="369"/>
      <c r="D195" s="150"/>
      <c r="E195" s="160"/>
      <c r="F195" s="372" t="s">
        <v>341</v>
      </c>
      <c r="G195" s="160"/>
      <c r="H195" s="160"/>
      <c r="I195" s="373"/>
      <c r="J195" s="373"/>
      <c r="K195" s="373"/>
      <c r="L195" s="373"/>
      <c r="M195" s="373"/>
      <c r="N195" s="373"/>
      <c r="O195" s="161"/>
      <c r="Q195" s="103"/>
    </row>
    <row r="196" spans="1:17" s="102" customFormat="1" ht="18" customHeight="1">
      <c r="A196" s="147"/>
      <c r="B196" s="149"/>
      <c r="C196" s="369"/>
      <c r="D196" s="150"/>
      <c r="E196" s="160"/>
      <c r="F196" s="160"/>
      <c r="G196" s="160"/>
      <c r="H196" s="160"/>
      <c r="I196" s="373"/>
      <c r="J196" s="373"/>
      <c r="K196" s="373"/>
      <c r="L196" s="373"/>
      <c r="M196" s="373"/>
      <c r="N196" s="373"/>
      <c r="O196" s="161"/>
      <c r="Q196" s="103"/>
    </row>
    <row r="197" spans="1:17" s="102" customFormat="1" ht="18" customHeight="1">
      <c r="A197" s="147"/>
      <c r="B197" s="149"/>
      <c r="C197" s="369"/>
      <c r="D197" s="150"/>
      <c r="E197" s="160"/>
      <c r="G197" s="148"/>
      <c r="H197" s="160"/>
      <c r="I197" s="373"/>
      <c r="J197" s="373"/>
      <c r="K197" s="373"/>
      <c r="L197" s="373"/>
      <c r="M197" s="373"/>
      <c r="N197" s="373"/>
      <c r="O197" s="161"/>
      <c r="Q197" s="103"/>
    </row>
    <row r="198" spans="1:17" s="102" customFormat="1" ht="18" customHeight="1">
      <c r="A198" s="147"/>
      <c r="B198" s="149"/>
      <c r="C198" s="369"/>
      <c r="D198" s="150"/>
      <c r="E198" s="160"/>
      <c r="F198" s="160"/>
      <c r="G198" s="160"/>
      <c r="H198" s="160"/>
      <c r="I198" s="373"/>
      <c r="J198" s="373"/>
      <c r="K198" s="373"/>
      <c r="L198" s="373"/>
      <c r="M198" s="373"/>
      <c r="N198" s="373"/>
      <c r="O198" s="161"/>
      <c r="Q198" s="103"/>
    </row>
    <row r="199" spans="1:17" s="102" customFormat="1" ht="18" customHeight="1">
      <c r="A199" s="162"/>
      <c r="B199" s="149"/>
      <c r="C199" s="369"/>
      <c r="D199" s="150"/>
      <c r="E199" s="160"/>
      <c r="F199" s="157" t="s">
        <v>342</v>
      </c>
      <c r="G199" s="160"/>
      <c r="H199" s="160"/>
      <c r="I199" s="373"/>
      <c r="J199" s="373"/>
      <c r="K199" s="373"/>
      <c r="L199" s="373"/>
      <c r="M199" s="373"/>
      <c r="N199" s="373"/>
      <c r="O199" s="161"/>
      <c r="Q199" s="103"/>
    </row>
    <row r="200" spans="1:17" s="102" customFormat="1" ht="18" customHeight="1">
      <c r="A200" s="162"/>
      <c r="B200" s="149"/>
      <c r="C200" s="369"/>
      <c r="D200" s="150"/>
      <c r="E200" s="160"/>
      <c r="F200" s="160"/>
      <c r="G200" s="160"/>
      <c r="H200" s="160"/>
      <c r="I200" s="373"/>
      <c r="J200" s="373"/>
      <c r="K200" s="373"/>
      <c r="L200" s="373"/>
      <c r="M200" s="373"/>
      <c r="N200" s="373"/>
      <c r="O200" s="161"/>
      <c r="Q200" s="103"/>
    </row>
    <row r="201" spans="1:17" s="102" customFormat="1" ht="18" customHeight="1">
      <c r="A201" s="162"/>
      <c r="B201" s="149"/>
      <c r="C201" s="369"/>
      <c r="D201" s="150"/>
      <c r="E201" s="160"/>
      <c r="F201" s="160"/>
      <c r="G201" s="160"/>
      <c r="H201" s="160"/>
      <c r="I201" s="373"/>
      <c r="J201" s="373"/>
      <c r="K201" s="373"/>
      <c r="L201" s="373"/>
      <c r="M201" s="373"/>
      <c r="N201" s="373"/>
      <c r="O201" s="161"/>
      <c r="Q201" s="103"/>
    </row>
    <row r="202" spans="1:17" s="102" customFormat="1" ht="18" customHeight="1">
      <c r="A202" s="162"/>
      <c r="B202" s="149"/>
      <c r="C202" s="369"/>
      <c r="D202" s="150"/>
      <c r="E202" s="160"/>
      <c r="F202" s="160"/>
      <c r="G202" s="160"/>
      <c r="H202" s="160"/>
      <c r="I202" s="373"/>
      <c r="J202" s="373"/>
      <c r="K202" s="373"/>
      <c r="L202" s="373"/>
      <c r="M202" s="373"/>
      <c r="N202" s="373"/>
      <c r="O202" s="161"/>
      <c r="Q202" s="103"/>
    </row>
    <row r="203" spans="1:17" s="102" customFormat="1" ht="18" customHeight="1">
      <c r="A203" s="149"/>
      <c r="B203" s="163"/>
      <c r="C203" s="374"/>
      <c r="D203" s="151"/>
      <c r="E203" s="154"/>
      <c r="F203" s="154"/>
      <c r="G203" s="154"/>
      <c r="H203" s="154"/>
      <c r="I203" s="370"/>
      <c r="J203" s="370"/>
      <c r="K203" s="370"/>
      <c r="L203" s="370"/>
      <c r="M203" s="370"/>
      <c r="N203" s="370"/>
      <c r="O203" s="164"/>
      <c r="Q203" s="103"/>
    </row>
    <row r="204" spans="1:15" ht="18" customHeight="1">
      <c r="A204" s="165"/>
      <c r="B204" s="159"/>
      <c r="C204" s="159"/>
      <c r="D204" s="156"/>
      <c r="E204" s="158"/>
      <c r="F204" s="158"/>
      <c r="G204" s="158"/>
      <c r="H204" s="158"/>
      <c r="I204" s="371"/>
      <c r="J204" s="371"/>
      <c r="K204" s="371"/>
      <c r="L204" s="371"/>
      <c r="M204" s="371"/>
      <c r="N204" s="371"/>
      <c r="O204" s="166"/>
    </row>
    <row r="205" spans="9:14" ht="18" customHeight="1">
      <c r="I205" s="376"/>
      <c r="J205" s="376"/>
      <c r="K205" s="376"/>
      <c r="L205" s="376"/>
      <c r="M205" s="376"/>
      <c r="N205" s="376"/>
    </row>
    <row r="206" spans="9:14" ht="18" customHeight="1">
      <c r="I206" s="376"/>
      <c r="J206" s="376"/>
      <c r="K206" s="376"/>
      <c r="L206" s="376"/>
      <c r="M206" s="376"/>
      <c r="N206" s="376"/>
    </row>
    <row r="207" spans="9:14" ht="18" customHeight="1">
      <c r="I207" s="376"/>
      <c r="J207" s="376"/>
      <c r="K207" s="376"/>
      <c r="L207" s="376"/>
      <c r="M207" s="376"/>
      <c r="N207" s="376"/>
    </row>
    <row r="208" spans="9:14" ht="18" customHeight="1">
      <c r="I208" s="376"/>
      <c r="J208" s="376"/>
      <c r="K208" s="376"/>
      <c r="L208" s="376"/>
      <c r="M208" s="376"/>
      <c r="N208" s="376"/>
    </row>
    <row r="209" spans="9:14" ht="18" customHeight="1">
      <c r="I209" s="376"/>
      <c r="J209" s="376"/>
      <c r="K209" s="376"/>
      <c r="L209" s="376"/>
      <c r="M209" s="376"/>
      <c r="N209" s="376"/>
    </row>
    <row r="210" spans="2:14" ht="18" customHeight="1">
      <c r="B210" s="168"/>
      <c r="I210" s="376"/>
      <c r="J210" s="376"/>
      <c r="K210" s="376"/>
      <c r="L210" s="376"/>
      <c r="M210" s="376"/>
      <c r="N210" s="376"/>
    </row>
    <row r="211" spans="1:14" ht="18" customHeight="1">
      <c r="A211" s="169"/>
      <c r="I211" s="376"/>
      <c r="J211" s="376"/>
      <c r="K211" s="376"/>
      <c r="L211" s="376"/>
      <c r="M211" s="376"/>
      <c r="N211" s="376"/>
    </row>
    <row r="212" spans="9:14" ht="18" customHeight="1">
      <c r="I212" s="376"/>
      <c r="J212" s="376"/>
      <c r="K212" s="376"/>
      <c r="L212" s="376"/>
      <c r="M212" s="376"/>
      <c r="N212" s="376"/>
    </row>
    <row r="213" spans="9:14" ht="18" customHeight="1">
      <c r="I213" s="376"/>
      <c r="J213" s="376"/>
      <c r="K213" s="376"/>
      <c r="L213" s="376"/>
      <c r="M213" s="376"/>
      <c r="N213" s="376"/>
    </row>
    <row r="214" spans="9:14" ht="18" customHeight="1">
      <c r="I214" s="376"/>
      <c r="J214" s="376"/>
      <c r="K214" s="376"/>
      <c r="L214" s="376"/>
      <c r="M214" s="376"/>
      <c r="N214" s="376"/>
    </row>
    <row r="215" spans="9:14" ht="18" customHeight="1">
      <c r="I215" s="376"/>
      <c r="J215" s="376"/>
      <c r="K215" s="376"/>
      <c r="L215" s="376"/>
      <c r="M215" s="376"/>
      <c r="N215" s="376"/>
    </row>
    <row r="216" spans="9:14" ht="18" customHeight="1">
      <c r="I216" s="376"/>
      <c r="J216" s="376"/>
      <c r="K216" s="376"/>
      <c r="L216" s="376"/>
      <c r="M216" s="376"/>
      <c r="N216" s="376"/>
    </row>
    <row r="217" spans="9:14" ht="18" customHeight="1">
      <c r="I217" s="376"/>
      <c r="J217" s="376"/>
      <c r="K217" s="376"/>
      <c r="L217" s="376"/>
      <c r="M217" s="376"/>
      <c r="N217" s="376"/>
    </row>
    <row r="218" spans="9:14" ht="18" customHeight="1">
      <c r="I218" s="376"/>
      <c r="J218" s="376"/>
      <c r="K218" s="376"/>
      <c r="L218" s="376"/>
      <c r="M218" s="376"/>
      <c r="N218" s="376"/>
    </row>
    <row r="219" spans="9:14" ht="18" customHeight="1">
      <c r="I219" s="376"/>
      <c r="J219" s="376"/>
      <c r="K219" s="376"/>
      <c r="L219" s="376"/>
      <c r="M219" s="376"/>
      <c r="N219" s="376"/>
    </row>
    <row r="220" spans="9:14" ht="18" customHeight="1">
      <c r="I220" s="376"/>
      <c r="J220" s="376"/>
      <c r="K220" s="376"/>
      <c r="L220" s="376"/>
      <c r="M220" s="376"/>
      <c r="N220" s="376"/>
    </row>
    <row r="221" spans="9:14" ht="18" customHeight="1">
      <c r="I221" s="376"/>
      <c r="J221" s="376"/>
      <c r="K221" s="376"/>
      <c r="L221" s="376"/>
      <c r="M221" s="376"/>
      <c r="N221" s="376"/>
    </row>
    <row r="222" spans="9:14" ht="18" customHeight="1">
      <c r="I222" s="376"/>
      <c r="J222" s="376"/>
      <c r="K222" s="376"/>
      <c r="L222" s="376"/>
      <c r="M222" s="376"/>
      <c r="N222" s="376"/>
    </row>
    <row r="223" spans="9:14" ht="18" customHeight="1">
      <c r="I223" s="376"/>
      <c r="J223" s="376"/>
      <c r="K223" s="376"/>
      <c r="L223" s="376"/>
      <c r="M223" s="376"/>
      <c r="N223" s="376"/>
    </row>
    <row r="224" spans="9:14" ht="18" customHeight="1">
      <c r="I224" s="376"/>
      <c r="J224" s="376"/>
      <c r="K224" s="376"/>
      <c r="L224" s="376"/>
      <c r="M224" s="376"/>
      <c r="N224" s="376"/>
    </row>
    <row r="225" spans="9:14" ht="18" customHeight="1">
      <c r="I225" s="376"/>
      <c r="J225" s="376"/>
      <c r="K225" s="376"/>
      <c r="L225" s="376"/>
      <c r="M225" s="376"/>
      <c r="N225" s="376"/>
    </row>
    <row r="226" spans="9:14" ht="18" customHeight="1">
      <c r="I226" s="376"/>
      <c r="J226" s="376"/>
      <c r="K226" s="376"/>
      <c r="L226" s="376"/>
      <c r="M226" s="376"/>
      <c r="N226" s="376"/>
    </row>
    <row r="227" spans="9:14" ht="18" customHeight="1">
      <c r="I227" s="376"/>
      <c r="J227" s="376"/>
      <c r="K227" s="376"/>
      <c r="L227" s="376"/>
      <c r="M227" s="376"/>
      <c r="N227" s="376"/>
    </row>
    <row r="228" spans="9:14" ht="18" customHeight="1">
      <c r="I228" s="376"/>
      <c r="J228" s="376"/>
      <c r="K228" s="376"/>
      <c r="L228" s="376"/>
      <c r="M228" s="376"/>
      <c r="N228" s="376"/>
    </row>
    <row r="229" spans="9:14" ht="18" customHeight="1">
      <c r="I229" s="376"/>
      <c r="J229" s="376"/>
      <c r="K229" s="376"/>
      <c r="L229" s="376"/>
      <c r="M229" s="376"/>
      <c r="N229" s="376"/>
    </row>
    <row r="230" spans="9:14" ht="18" customHeight="1">
      <c r="I230" s="376"/>
      <c r="J230" s="376"/>
      <c r="K230" s="376"/>
      <c r="L230" s="376"/>
      <c r="M230" s="376"/>
      <c r="N230" s="376"/>
    </row>
    <row r="231" spans="9:14" ht="18" customHeight="1">
      <c r="I231" s="376"/>
      <c r="J231" s="376"/>
      <c r="K231" s="376"/>
      <c r="L231" s="376"/>
      <c r="M231" s="376"/>
      <c r="N231" s="376"/>
    </row>
    <row r="232" spans="9:14" ht="18" customHeight="1">
      <c r="I232" s="376"/>
      <c r="J232" s="376"/>
      <c r="K232" s="376"/>
      <c r="L232" s="376"/>
      <c r="M232" s="376"/>
      <c r="N232" s="376"/>
    </row>
    <row r="233" spans="9:14" ht="18" customHeight="1">
      <c r="I233" s="376"/>
      <c r="J233" s="376"/>
      <c r="K233" s="376"/>
      <c r="L233" s="376"/>
      <c r="M233" s="376"/>
      <c r="N233" s="376"/>
    </row>
    <row r="234" spans="9:14" ht="18" customHeight="1">
      <c r="I234" s="376"/>
      <c r="J234" s="376"/>
      <c r="K234" s="376"/>
      <c r="L234" s="376"/>
      <c r="M234" s="376"/>
      <c r="N234" s="376"/>
    </row>
    <row r="235" spans="9:14" ht="18" customHeight="1">
      <c r="I235" s="376"/>
      <c r="J235" s="376"/>
      <c r="K235" s="376"/>
      <c r="L235" s="376"/>
      <c r="M235" s="376"/>
      <c r="N235" s="376"/>
    </row>
    <row r="236" spans="9:14" ht="18" customHeight="1">
      <c r="I236" s="376"/>
      <c r="J236" s="376"/>
      <c r="K236" s="376"/>
      <c r="L236" s="376"/>
      <c r="M236" s="376"/>
      <c r="N236" s="376"/>
    </row>
    <row r="237" spans="9:14" ht="18" customHeight="1">
      <c r="I237" s="376"/>
      <c r="J237" s="376"/>
      <c r="K237" s="376"/>
      <c r="L237" s="376"/>
      <c r="M237" s="376"/>
      <c r="N237" s="376"/>
    </row>
    <row r="238" spans="9:14" ht="18" customHeight="1">
      <c r="I238" s="376"/>
      <c r="J238" s="376"/>
      <c r="K238" s="376"/>
      <c r="L238" s="376"/>
      <c r="M238" s="376"/>
      <c r="N238" s="376"/>
    </row>
    <row r="239" spans="9:14" ht="18" customHeight="1">
      <c r="I239" s="376"/>
      <c r="J239" s="376"/>
      <c r="K239" s="376"/>
      <c r="L239" s="376"/>
      <c r="M239" s="376"/>
      <c r="N239" s="376"/>
    </row>
    <row r="240" spans="9:14" ht="18" customHeight="1">
      <c r="I240" s="376"/>
      <c r="J240" s="376"/>
      <c r="K240" s="376"/>
      <c r="L240" s="376"/>
      <c r="M240" s="376"/>
      <c r="N240" s="376"/>
    </row>
    <row r="241" spans="9:14" ht="18" customHeight="1">
      <c r="I241" s="376"/>
      <c r="J241" s="376"/>
      <c r="K241" s="376"/>
      <c r="L241" s="376"/>
      <c r="M241" s="376"/>
      <c r="N241" s="376"/>
    </row>
    <row r="242" spans="9:14" ht="18" customHeight="1">
      <c r="I242" s="376"/>
      <c r="J242" s="376"/>
      <c r="K242" s="376"/>
      <c r="L242" s="376"/>
      <c r="M242" s="376"/>
      <c r="N242" s="376"/>
    </row>
    <row r="243" spans="9:14" ht="18" customHeight="1">
      <c r="I243" s="376"/>
      <c r="J243" s="376"/>
      <c r="K243" s="376"/>
      <c r="L243" s="376"/>
      <c r="M243" s="376"/>
      <c r="N243" s="376"/>
    </row>
    <row r="244" spans="9:14" ht="18" customHeight="1">
      <c r="I244" s="376"/>
      <c r="J244" s="376"/>
      <c r="K244" s="376"/>
      <c r="L244" s="376"/>
      <c r="M244" s="376"/>
      <c r="N244" s="376"/>
    </row>
    <row r="245" spans="9:14" ht="18" customHeight="1">
      <c r="I245" s="376"/>
      <c r="J245" s="376"/>
      <c r="K245" s="376"/>
      <c r="L245" s="376"/>
      <c r="M245" s="376"/>
      <c r="N245" s="376"/>
    </row>
    <row r="246" spans="9:14" ht="18" customHeight="1">
      <c r="I246" s="376"/>
      <c r="J246" s="376"/>
      <c r="K246" s="376"/>
      <c r="L246" s="376"/>
      <c r="M246" s="376"/>
      <c r="N246" s="376"/>
    </row>
    <row r="247" spans="9:14" ht="18" customHeight="1">
      <c r="I247" s="376"/>
      <c r="J247" s="376"/>
      <c r="K247" s="376"/>
      <c r="L247" s="376"/>
      <c r="M247" s="376"/>
      <c r="N247" s="376"/>
    </row>
    <row r="248" spans="9:14" ht="18" customHeight="1">
      <c r="I248" s="376"/>
      <c r="J248" s="376"/>
      <c r="K248" s="376"/>
      <c r="L248" s="376"/>
      <c r="M248" s="376"/>
      <c r="N248" s="376"/>
    </row>
    <row r="249" spans="9:14" ht="18" customHeight="1">
      <c r="I249" s="376"/>
      <c r="J249" s="376"/>
      <c r="K249" s="376"/>
      <c r="L249" s="376"/>
      <c r="M249" s="376"/>
      <c r="N249" s="376"/>
    </row>
    <row r="250" spans="9:14" ht="18" customHeight="1">
      <c r="I250" s="376"/>
      <c r="J250" s="376"/>
      <c r="K250" s="376"/>
      <c r="L250" s="376"/>
      <c r="M250" s="376"/>
      <c r="N250" s="376"/>
    </row>
    <row r="251" spans="9:14" ht="18" customHeight="1">
      <c r="I251" s="376"/>
      <c r="J251" s="376"/>
      <c r="K251" s="376"/>
      <c r="L251" s="376"/>
      <c r="M251" s="376"/>
      <c r="N251" s="376"/>
    </row>
    <row r="252" spans="9:14" ht="18" customHeight="1">
      <c r="I252" s="376"/>
      <c r="J252" s="376"/>
      <c r="K252" s="376"/>
      <c r="L252" s="376"/>
      <c r="M252" s="376"/>
      <c r="N252" s="376"/>
    </row>
    <row r="253" spans="9:14" ht="18" customHeight="1">
      <c r="I253" s="376"/>
      <c r="J253" s="376"/>
      <c r="K253" s="376"/>
      <c r="L253" s="376"/>
      <c r="M253" s="376"/>
      <c r="N253" s="376"/>
    </row>
    <row r="254" spans="9:14" ht="18" customHeight="1">
      <c r="I254" s="376"/>
      <c r="J254" s="376"/>
      <c r="K254" s="376"/>
      <c r="L254" s="376"/>
      <c r="M254" s="376"/>
      <c r="N254" s="376"/>
    </row>
    <row r="255" spans="9:14" ht="18" customHeight="1">
      <c r="I255" s="376"/>
      <c r="J255" s="376"/>
      <c r="K255" s="376"/>
      <c r="L255" s="376"/>
      <c r="M255" s="376"/>
      <c r="N255" s="376"/>
    </row>
    <row r="256" spans="9:14" ht="18" customHeight="1">
      <c r="I256" s="376"/>
      <c r="J256" s="376"/>
      <c r="K256" s="376"/>
      <c r="L256" s="376"/>
      <c r="M256" s="376"/>
      <c r="N256" s="376"/>
    </row>
    <row r="257" spans="9:14" ht="18" customHeight="1">
      <c r="I257" s="376"/>
      <c r="J257" s="376"/>
      <c r="K257" s="376"/>
      <c r="L257" s="376"/>
      <c r="M257" s="376"/>
      <c r="N257" s="376"/>
    </row>
    <row r="258" spans="9:14" ht="18" customHeight="1">
      <c r="I258" s="376"/>
      <c r="J258" s="376"/>
      <c r="K258" s="376"/>
      <c r="L258" s="376"/>
      <c r="M258" s="376"/>
      <c r="N258" s="376"/>
    </row>
    <row r="259" spans="9:14" ht="18" customHeight="1">
      <c r="I259" s="376"/>
      <c r="J259" s="376"/>
      <c r="K259" s="376"/>
      <c r="L259" s="376"/>
      <c r="M259" s="376"/>
      <c r="N259" s="376"/>
    </row>
    <row r="260" spans="9:14" ht="18" customHeight="1">
      <c r="I260" s="376"/>
      <c r="J260" s="376"/>
      <c r="K260" s="376"/>
      <c r="L260" s="376"/>
      <c r="M260" s="376"/>
      <c r="N260" s="376"/>
    </row>
    <row r="261" spans="9:14" ht="18" customHeight="1">
      <c r="I261" s="376"/>
      <c r="J261" s="376"/>
      <c r="K261" s="376"/>
      <c r="L261" s="376"/>
      <c r="M261" s="376"/>
      <c r="N261" s="376"/>
    </row>
    <row r="262" spans="9:14" ht="18" customHeight="1">
      <c r="I262" s="376"/>
      <c r="J262" s="376"/>
      <c r="K262" s="376"/>
      <c r="L262" s="376"/>
      <c r="M262" s="376"/>
      <c r="N262" s="376"/>
    </row>
    <row r="263" spans="9:14" ht="18" customHeight="1">
      <c r="I263" s="376"/>
      <c r="J263" s="376"/>
      <c r="K263" s="376"/>
      <c r="L263" s="376"/>
      <c r="M263" s="376"/>
      <c r="N263" s="376"/>
    </row>
    <row r="264" spans="9:14" ht="18" customHeight="1">
      <c r="I264" s="376"/>
      <c r="J264" s="376"/>
      <c r="K264" s="376"/>
      <c r="L264" s="376"/>
      <c r="M264" s="376"/>
      <c r="N264" s="376"/>
    </row>
    <row r="265" spans="9:14" ht="18" customHeight="1">
      <c r="I265" s="376"/>
      <c r="J265" s="376"/>
      <c r="K265" s="376"/>
      <c r="L265" s="376"/>
      <c r="M265" s="376"/>
      <c r="N265" s="376"/>
    </row>
    <row r="266" spans="9:14" ht="18" customHeight="1">
      <c r="I266" s="376"/>
      <c r="J266" s="376"/>
      <c r="K266" s="376"/>
      <c r="L266" s="376"/>
      <c r="M266" s="376"/>
      <c r="N266" s="376"/>
    </row>
    <row r="267" ht="18" customHeight="1"/>
    <row r="268" ht="18" customHeight="1"/>
    <row r="269" ht="18" customHeight="1"/>
    <row r="270" ht="18" customHeight="1"/>
    <row r="271" ht="18" customHeight="1"/>
  </sheetData>
  <sheetProtection/>
  <mergeCells count="12">
    <mergeCell ref="B4:O4"/>
    <mergeCell ref="A7:A8"/>
    <mergeCell ref="B7:B8"/>
    <mergeCell ref="C7:C8"/>
    <mergeCell ref="D7:D8"/>
    <mergeCell ref="E7:E8"/>
    <mergeCell ref="F7:F8"/>
    <mergeCell ref="G7:G8"/>
    <mergeCell ref="H7:H8"/>
    <mergeCell ref="I7:M7"/>
    <mergeCell ref="N7:N8"/>
    <mergeCell ref="O7:O8"/>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Tranglk</dc:creator>
  <cp:keywords/>
  <dc:description/>
  <cp:lastModifiedBy>User</cp:lastModifiedBy>
  <cp:lastPrinted>2015-11-23T09:15:08Z</cp:lastPrinted>
  <dcterms:created xsi:type="dcterms:W3CDTF">2008-11-13T10:38:09Z</dcterms:created>
  <dcterms:modified xsi:type="dcterms:W3CDTF">2015-12-15T09:41:31Z</dcterms:modified>
  <cp:category/>
  <cp:version/>
  <cp:contentType/>
  <cp:contentStatus/>
</cp:coreProperties>
</file>